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VIER MORENO\Downloads\"/>
    </mc:Choice>
  </mc:AlternateContent>
  <xr:revisionPtr revIDLastSave="0" documentId="13_ncr:1_{72ABFBAA-3B4A-48EF-B409-A4FB5808CF6E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Informe 6-5" sheetId="1" state="hidden" r:id="rId1"/>
    <sheet name="informe PARCIAL 1 periodo (2)" sheetId="2" state="hidden" r:id="rId2"/>
    <sheet name="Hoja5" sheetId="3" state="hidden" r:id="rId3"/>
    <sheet name="Informe Final 1 periodo" sheetId="4" r:id="rId4"/>
    <sheet name="Hoja6" sheetId="15" state="hidden" r:id="rId5"/>
    <sheet name="INFORME FINAL 1ER PERIODO" sheetId="6" r:id="rId6"/>
    <sheet name="Informe" sheetId="7" state="hidden" r:id="rId7"/>
    <sheet name="Hoja3" sheetId="8" state="hidden" r:id="rId8"/>
    <sheet name="Estadisticas" sheetId="9" state="hidden" r:id="rId9"/>
    <sheet name="Estadisticas IPERIODO" sheetId="10" state="hidden" r:id="rId10"/>
    <sheet name="Hoja4" sheetId="11" state="hidden" r:id="rId11"/>
    <sheet name="Hoja2" sheetId="12" state="hidden" r:id="rId12"/>
    <sheet name="Hoja1" sheetId="13" state="hidden" r:id="rId13"/>
  </sheets>
  <definedNames>
    <definedName name="_xlnm._FilterDatabase" localSheetId="3" hidden="1">'Informe Final 1 periodo'!$Z$2:$AA$36</definedName>
    <definedName name="BDNOTAS" localSheetId="8">Estadisticas!$1:$1048576</definedName>
    <definedName name="BDNOTAS" localSheetId="9">'Estadisticas IPERIODO'!$1:$1048576</definedName>
    <definedName name="BDNOTAS" localSheetId="1">'informe PARCIAL 1 periodo (2)'!$1:$1048576</definedName>
    <definedName name="BDNOTAS">'Informe Final 1 periodo'!$1:$1048576</definedName>
    <definedName name="BDNOTAS2">#REF!</definedName>
    <definedName name="CONSOLIDADOI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mG5gkKu4PbTEtcTH/nvFXEuItUnS347w+kV0TLRgDbs="/>
    </ext>
  </extLst>
</workbook>
</file>

<file path=xl/calcChain.xml><?xml version="1.0" encoding="utf-8"?>
<calcChain xmlns="http://schemas.openxmlformats.org/spreadsheetml/2006/main">
  <c r="AF7" i="4" l="1"/>
  <c r="Y7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4" i="4"/>
  <c r="H36" i="4"/>
  <c r="I36" i="4"/>
  <c r="J36" i="4"/>
  <c r="AA7" i="4" l="1"/>
  <c r="Z7" i="4"/>
  <c r="C6" i="6"/>
  <c r="Y14" i="4"/>
  <c r="W31" i="4"/>
  <c r="Y31" i="4"/>
  <c r="Y32" i="4"/>
  <c r="W33" i="4"/>
  <c r="Y33" i="4"/>
  <c r="Z33" i="4" s="1"/>
  <c r="Y34" i="4"/>
  <c r="W35" i="4"/>
  <c r="L27" i="12"/>
  <c r="M27" i="12" s="1"/>
  <c r="M26" i="12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P10" i="10"/>
  <c r="M10" i="10"/>
  <c r="M9" i="10"/>
  <c r="M8" i="10"/>
  <c r="P7" i="10"/>
  <c r="M7" i="10"/>
  <c r="C7" i="13" s="1"/>
  <c r="M6" i="10"/>
  <c r="M5" i="10"/>
  <c r="C11" i="13" s="1"/>
  <c r="L42" i="9"/>
  <c r="L41" i="9"/>
  <c r="I41" i="9"/>
  <c r="I42" i="9" s="1"/>
  <c r="H41" i="9"/>
  <c r="H42" i="9" s="1"/>
  <c r="G41" i="9"/>
  <c r="G42" i="9" s="1"/>
  <c r="F41" i="9"/>
  <c r="F42" i="9" s="1"/>
  <c r="E41" i="9"/>
  <c r="E42" i="9" s="1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Q15" i="9" s="1"/>
  <c r="M9" i="9"/>
  <c r="M8" i="9"/>
  <c r="M7" i="9"/>
  <c r="M6" i="9"/>
  <c r="M5" i="9"/>
  <c r="Q14" i="9" s="1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V36" i="4"/>
  <c r="U36" i="4"/>
  <c r="T36" i="4"/>
  <c r="S36" i="4"/>
  <c r="R36" i="4"/>
  <c r="Q36" i="4"/>
  <c r="P36" i="4"/>
  <c r="O36" i="4"/>
  <c r="N36" i="4"/>
  <c r="M36" i="4"/>
  <c r="L36" i="4"/>
  <c r="K36" i="4"/>
  <c r="G36" i="4"/>
  <c r="F36" i="4"/>
  <c r="E36" i="4"/>
  <c r="D36" i="4"/>
  <c r="AF30" i="4"/>
  <c r="AF29" i="4"/>
  <c r="Y30" i="4"/>
  <c r="AF28" i="4"/>
  <c r="Y29" i="4"/>
  <c r="AF27" i="4"/>
  <c r="Y28" i="4"/>
  <c r="AF26" i="4"/>
  <c r="Y27" i="4"/>
  <c r="AF25" i="4"/>
  <c r="Y26" i="4"/>
  <c r="W26" i="4"/>
  <c r="AF24" i="4"/>
  <c r="Y25" i="4"/>
  <c r="W25" i="4"/>
  <c r="AF23" i="4"/>
  <c r="Y24" i="4"/>
  <c r="AF22" i="4"/>
  <c r="Y23" i="4"/>
  <c r="AF21" i="4"/>
  <c r="Y22" i="4"/>
  <c r="W22" i="4"/>
  <c r="AF20" i="4"/>
  <c r="Y21" i="4"/>
  <c r="AF19" i="4"/>
  <c r="Y20" i="4"/>
  <c r="W20" i="4"/>
  <c r="AF18" i="4"/>
  <c r="Y19" i="4"/>
  <c r="AF17" i="4"/>
  <c r="Y18" i="4"/>
  <c r="AF16" i="4"/>
  <c r="Y17" i="4"/>
  <c r="AF15" i="4"/>
  <c r="Y16" i="4"/>
  <c r="AF14" i="4"/>
  <c r="Y15" i="4"/>
  <c r="W15" i="4"/>
  <c r="AF13" i="4"/>
  <c r="Y13" i="4"/>
  <c r="AF12" i="4"/>
  <c r="Y12" i="4"/>
  <c r="AF11" i="4"/>
  <c r="Y11" i="4"/>
  <c r="W11" i="4"/>
  <c r="AF10" i="4"/>
  <c r="Y10" i="4"/>
  <c r="AF9" i="4"/>
  <c r="Y9" i="4"/>
  <c r="W9" i="4"/>
  <c r="AF8" i="4"/>
  <c r="Y8" i="4"/>
  <c r="W8" i="4"/>
  <c r="AF6" i="4"/>
  <c r="Y6" i="4"/>
  <c r="W6" i="4"/>
  <c r="AF5" i="4"/>
  <c r="Y5" i="4"/>
  <c r="AF4" i="4"/>
  <c r="Y4" i="4"/>
  <c r="D14" i="3"/>
  <c r="V42" i="2"/>
  <c r="D16" i="3" s="1"/>
  <c r="U42" i="2"/>
  <c r="D15" i="3" s="1"/>
  <c r="T42" i="2"/>
  <c r="S42" i="2"/>
  <c r="R42" i="2"/>
  <c r="D13" i="3" s="1"/>
  <c r="Q42" i="2"/>
  <c r="D12" i="3" s="1"/>
  <c r="P42" i="2"/>
  <c r="O42" i="2"/>
  <c r="D11" i="3" s="1"/>
  <c r="N42" i="2"/>
  <c r="D10" i="3" s="1"/>
  <c r="M42" i="2"/>
  <c r="D9" i="3" s="1"/>
  <c r="L42" i="2"/>
  <c r="K42" i="2"/>
  <c r="D8" i="3" s="1"/>
  <c r="J42" i="2"/>
  <c r="D7" i="3" s="1"/>
  <c r="I42" i="2"/>
  <c r="D6" i="3" s="1"/>
  <c r="H42" i="2"/>
  <c r="D5" i="3" s="1"/>
  <c r="G42" i="2"/>
  <c r="F42" i="2"/>
  <c r="D4" i="3" s="1"/>
  <c r="E42" i="2"/>
  <c r="D3" i="3" s="1"/>
  <c r="D42" i="2"/>
  <c r="AF41" i="2"/>
  <c r="AF40" i="2"/>
  <c r="Y40" i="2"/>
  <c r="X40" i="2"/>
  <c r="W40" i="2"/>
  <c r="AF39" i="2"/>
  <c r="Z39" i="2"/>
  <c r="Y39" i="2"/>
  <c r="X39" i="2"/>
  <c r="AA39" i="2" s="1"/>
  <c r="W39" i="2"/>
  <c r="AF38" i="2"/>
  <c r="Y38" i="2"/>
  <c r="X38" i="2"/>
  <c r="Z38" i="2" s="1"/>
  <c r="AF37" i="2"/>
  <c r="Y37" i="2"/>
  <c r="X37" i="2"/>
  <c r="W37" i="2" s="1"/>
  <c r="AF36" i="2"/>
  <c r="Y36" i="2"/>
  <c r="X36" i="2"/>
  <c r="W36" i="2"/>
  <c r="AF35" i="2"/>
  <c r="Z35" i="2"/>
  <c r="Y35" i="2"/>
  <c r="X35" i="2"/>
  <c r="AA35" i="2" s="1"/>
  <c r="W35" i="2"/>
  <c r="AF34" i="2"/>
  <c r="AE34" i="2"/>
  <c r="Y34" i="2"/>
  <c r="X34" i="2"/>
  <c r="W34" i="2" s="1"/>
  <c r="AF33" i="2"/>
  <c r="Y33" i="2"/>
  <c r="X33" i="2"/>
  <c r="W33" i="2" s="1"/>
  <c r="AF32" i="2"/>
  <c r="Y32" i="2"/>
  <c r="X32" i="2"/>
  <c r="AA32" i="2" s="1"/>
  <c r="AF31" i="2"/>
  <c r="Y31" i="2"/>
  <c r="X31" i="2"/>
  <c r="Z31" i="2" s="1"/>
  <c r="AF30" i="2"/>
  <c r="Y30" i="2"/>
  <c r="X30" i="2"/>
  <c r="W30" i="2" s="1"/>
  <c r="AF29" i="2"/>
  <c r="Y29" i="2"/>
  <c r="AA29" i="2" s="1"/>
  <c r="X29" i="2"/>
  <c r="W29" i="2"/>
  <c r="AF28" i="2"/>
  <c r="Y28" i="2"/>
  <c r="X28" i="2"/>
  <c r="AF27" i="2"/>
  <c r="Y27" i="2"/>
  <c r="AA27" i="2" s="1"/>
  <c r="X27" i="2"/>
  <c r="W27" i="2"/>
  <c r="AF26" i="2"/>
  <c r="Y26" i="2"/>
  <c r="X26" i="2"/>
  <c r="W26" i="2" s="1"/>
  <c r="AF25" i="2"/>
  <c r="Z25" i="2"/>
  <c r="Y25" i="2"/>
  <c r="X25" i="2"/>
  <c r="AA25" i="2" s="1"/>
  <c r="W25" i="2"/>
  <c r="AF24" i="2"/>
  <c r="Y24" i="2"/>
  <c r="X24" i="2"/>
  <c r="AA24" i="2" s="1"/>
  <c r="AF23" i="2"/>
  <c r="AA23" i="2"/>
  <c r="Y23" i="2"/>
  <c r="X23" i="2"/>
  <c r="Z23" i="2" s="1"/>
  <c r="W23" i="2"/>
  <c r="AF22" i="2"/>
  <c r="Y22" i="2"/>
  <c r="X22" i="2"/>
  <c r="W22" i="2" s="1"/>
  <c r="AF21" i="2"/>
  <c r="AA21" i="2"/>
  <c r="Y21" i="2"/>
  <c r="X21" i="2"/>
  <c r="Z21" i="2" s="1"/>
  <c r="AF20" i="2"/>
  <c r="AA20" i="2"/>
  <c r="Y20" i="2"/>
  <c r="X20" i="2"/>
  <c r="Z20" i="2" s="1"/>
  <c r="W20" i="2"/>
  <c r="AF19" i="2"/>
  <c r="Y19" i="2"/>
  <c r="X19" i="2"/>
  <c r="W19" i="2" s="1"/>
  <c r="AF18" i="2"/>
  <c r="Y18" i="2"/>
  <c r="X18" i="2"/>
  <c r="AA18" i="2" s="1"/>
  <c r="AF17" i="2"/>
  <c r="Y17" i="2"/>
  <c r="X17" i="2"/>
  <c r="AF16" i="2"/>
  <c r="Y16" i="2"/>
  <c r="AA16" i="2" s="1"/>
  <c r="X16" i="2"/>
  <c r="W16" i="2"/>
  <c r="AJ15" i="2"/>
  <c r="AF15" i="2"/>
  <c r="Y15" i="2"/>
  <c r="X15" i="2"/>
  <c r="Z15" i="2" s="1"/>
  <c r="W15" i="2"/>
  <c r="AJ14" i="2"/>
  <c r="AF14" i="2"/>
  <c r="Y14" i="2"/>
  <c r="X14" i="2"/>
  <c r="W14" i="2" s="1"/>
  <c r="AJ13" i="2"/>
  <c r="AF13" i="2"/>
  <c r="Y13" i="2"/>
  <c r="X13" i="2"/>
  <c r="Z13" i="2" s="1"/>
  <c r="AJ12" i="2"/>
  <c r="AF12" i="2"/>
  <c r="Y12" i="2"/>
  <c r="Z12" i="2" s="1"/>
  <c r="X12" i="2"/>
  <c r="W12" i="2"/>
  <c r="AJ11" i="2"/>
  <c r="AF11" i="2"/>
  <c r="Y11" i="2"/>
  <c r="X11" i="2"/>
  <c r="Z11" i="2" s="1"/>
  <c r="W11" i="2"/>
  <c r="AJ10" i="2"/>
  <c r="AF10" i="2"/>
  <c r="Y10" i="2"/>
  <c r="X10" i="2"/>
  <c r="W10" i="2" s="1"/>
  <c r="AJ9" i="2"/>
  <c r="AF9" i="2"/>
  <c r="Y9" i="2"/>
  <c r="X9" i="2"/>
  <c r="Z9" i="2" s="1"/>
  <c r="AJ8" i="2"/>
  <c r="AF8" i="2"/>
  <c r="Y8" i="2"/>
  <c r="Z8" i="2" s="1"/>
  <c r="X8" i="2"/>
  <c r="W8" i="2"/>
  <c r="AJ7" i="2"/>
  <c r="AF7" i="2"/>
  <c r="Y7" i="2"/>
  <c r="X7" i="2"/>
  <c r="Z7" i="2" s="1"/>
  <c r="W7" i="2"/>
  <c r="AF6" i="2"/>
  <c r="Y6" i="2"/>
  <c r="X6" i="2"/>
  <c r="Z6" i="2" s="1"/>
  <c r="W6" i="2"/>
  <c r="AF5" i="2"/>
  <c r="Y5" i="2"/>
  <c r="X5" i="2"/>
  <c r="W5" i="2" s="1"/>
  <c r="AF4" i="2"/>
  <c r="AO20" i="2" s="1"/>
  <c r="Y4" i="2"/>
  <c r="X4" i="2"/>
  <c r="W4" i="2" s="1"/>
  <c r="C28" i="1"/>
  <c r="C27" i="1"/>
  <c r="C29" i="1" s="1"/>
  <c r="D27" i="1" s="1"/>
  <c r="D29" i="1" s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Z29" i="2" l="1"/>
  <c r="Q6" i="9"/>
  <c r="Z4" i="2"/>
  <c r="AA31" i="2"/>
  <c r="Q10" i="9"/>
  <c r="AA9" i="2"/>
  <c r="AA14" i="2"/>
  <c r="Z33" i="2"/>
  <c r="AA4" i="2"/>
  <c r="AA6" i="2"/>
  <c r="AA8" i="2"/>
  <c r="Z16" i="2"/>
  <c r="AA28" i="2"/>
  <c r="AA33" i="2"/>
  <c r="AA37" i="2"/>
  <c r="Q7" i="9"/>
  <c r="AA13" i="2"/>
  <c r="AA10" i="2"/>
  <c r="AA19" i="2"/>
  <c r="AO15" i="2"/>
  <c r="AA12" i="2"/>
  <c r="AA17" i="2"/>
  <c r="Z27" i="2"/>
  <c r="W31" i="2"/>
  <c r="Z36" i="2"/>
  <c r="AA38" i="2"/>
  <c r="Z40" i="2"/>
  <c r="AA24" i="4"/>
  <c r="AA34" i="4"/>
  <c r="Z32" i="4"/>
  <c r="Z14" i="4"/>
  <c r="AA8" i="4"/>
  <c r="AA13" i="4"/>
  <c r="AA16" i="4"/>
  <c r="Z20" i="4"/>
  <c r="Z28" i="4"/>
  <c r="AA14" i="4"/>
  <c r="W34" i="4"/>
  <c r="D28" i="6"/>
  <c r="G11" i="6" s="1"/>
  <c r="AA33" i="4"/>
  <c r="AA32" i="4"/>
  <c r="AA5" i="4"/>
  <c r="W32" i="4"/>
  <c r="AA31" i="4"/>
  <c r="Z34" i="4"/>
  <c r="Z31" i="4"/>
  <c r="W5" i="4"/>
  <c r="AA10" i="4"/>
  <c r="AA28" i="4"/>
  <c r="Z23" i="4"/>
  <c r="AA4" i="4"/>
  <c r="AA19" i="4"/>
  <c r="Z27" i="4"/>
  <c r="Z5" i="4"/>
  <c r="Z8" i="4"/>
  <c r="W10" i="4"/>
  <c r="Z19" i="4"/>
  <c r="Z21" i="4"/>
  <c r="AA17" i="4"/>
  <c r="Z10" i="4"/>
  <c r="Z24" i="4"/>
  <c r="Z29" i="4"/>
  <c r="Z12" i="4"/>
  <c r="W21" i="4"/>
  <c r="Z25" i="4"/>
  <c r="AA27" i="4"/>
  <c r="Z9" i="4"/>
  <c r="W24" i="4"/>
  <c r="W28" i="4"/>
  <c r="Z30" i="4"/>
  <c r="W13" i="4"/>
  <c r="Z18" i="4"/>
  <c r="AA20" i="4"/>
  <c r="AA23" i="4"/>
  <c r="AA18" i="4"/>
  <c r="Z13" i="4"/>
  <c r="Z15" i="4"/>
  <c r="AA26" i="4"/>
  <c r="AA22" i="4"/>
  <c r="AA30" i="4"/>
  <c r="AA12" i="4"/>
  <c r="C5" i="7"/>
  <c r="D28" i="1"/>
  <c r="AA7" i="2"/>
  <c r="W9" i="2"/>
  <c r="AA11" i="2"/>
  <c r="W13" i="2"/>
  <c r="AA15" i="2"/>
  <c r="AO19" i="2"/>
  <c r="W21" i="2"/>
  <c r="AA36" i="2"/>
  <c r="W38" i="2"/>
  <c r="AA40" i="2"/>
  <c r="AA9" i="4"/>
  <c r="W12" i="4"/>
  <c r="W19" i="4"/>
  <c r="AA21" i="4"/>
  <c r="W23" i="4"/>
  <c r="AA25" i="4"/>
  <c r="W27" i="4"/>
  <c r="AA29" i="4"/>
  <c r="C2" i="7"/>
  <c r="Q13" i="9"/>
  <c r="M41" i="9"/>
  <c r="M42" i="9" s="1"/>
  <c r="P8" i="10"/>
  <c r="AO11" i="2"/>
  <c r="AO18" i="2"/>
  <c r="Q8" i="9"/>
  <c r="P11" i="10"/>
  <c r="C4" i="13"/>
  <c r="C8" i="13"/>
  <c r="C12" i="13"/>
  <c r="Z19" i="2"/>
  <c r="AO9" i="2"/>
  <c r="AJ17" i="2"/>
  <c r="AK10" i="2" s="1"/>
  <c r="Z5" i="2"/>
  <c r="AO17" i="2"/>
  <c r="Z22" i="2"/>
  <c r="Z26" i="2"/>
  <c r="Z30" i="2"/>
  <c r="Z34" i="2"/>
  <c r="Z6" i="4"/>
  <c r="Z11" i="4"/>
  <c r="W30" i="4"/>
  <c r="C3" i="7"/>
  <c r="Q11" i="9"/>
  <c r="P6" i="10"/>
  <c r="P14" i="10"/>
  <c r="AO7" i="2"/>
  <c r="Z10" i="2"/>
  <c r="AO13" i="2"/>
  <c r="AA5" i="2"/>
  <c r="AO10" i="2"/>
  <c r="AO14" i="2"/>
  <c r="AO16" i="2"/>
  <c r="W18" i="2"/>
  <c r="AA22" i="2"/>
  <c r="W24" i="2"/>
  <c r="AA26" i="2"/>
  <c r="W28" i="2"/>
  <c r="AA30" i="2"/>
  <c r="W32" i="2"/>
  <c r="AA34" i="2"/>
  <c r="W4" i="4"/>
  <c r="AA6" i="4"/>
  <c r="AA11" i="4"/>
  <c r="W16" i="4"/>
  <c r="W17" i="4"/>
  <c r="P9" i="10"/>
  <c r="C5" i="13"/>
  <c r="C9" i="13"/>
  <c r="C13" i="13"/>
  <c r="C4" i="7"/>
  <c r="Q9" i="9"/>
  <c r="P12" i="10"/>
  <c r="Q12" i="9"/>
  <c r="C6" i="13"/>
  <c r="C10" i="13"/>
  <c r="W29" i="4"/>
  <c r="Z14" i="2"/>
  <c r="Z37" i="2"/>
  <c r="Z22" i="4"/>
  <c r="Z26" i="4"/>
  <c r="Z17" i="2"/>
  <c r="Z18" i="2"/>
  <c r="AO21" i="2"/>
  <c r="Z24" i="2"/>
  <c r="Z28" i="2"/>
  <c r="Z32" i="2"/>
  <c r="AF42" i="2"/>
  <c r="Z4" i="4"/>
  <c r="AA15" i="4"/>
  <c r="Z16" i="4"/>
  <c r="Z17" i="4"/>
  <c r="AO8" i="2"/>
  <c r="AO12" i="2"/>
  <c r="P13" i="10"/>
  <c r="AD6" i="4" l="1"/>
  <c r="AJ7" i="4" s="1"/>
  <c r="AP7" i="4" s="1"/>
  <c r="AC45" i="4"/>
  <c r="AD45" i="4" s="1"/>
  <c r="AC55" i="2"/>
  <c r="AD55" i="2" s="1"/>
  <c r="AD8" i="2"/>
  <c r="AC56" i="2"/>
  <c r="AD56" i="2" s="1"/>
  <c r="AD14" i="4"/>
  <c r="AJ15" i="4" s="1"/>
  <c r="AD13" i="4"/>
  <c r="AJ14" i="4" s="1"/>
  <c r="AD12" i="4"/>
  <c r="AJ13" i="4" s="1"/>
  <c r="AD7" i="4"/>
  <c r="AJ8" i="4" s="1"/>
  <c r="AD11" i="4"/>
  <c r="AJ12" i="4" s="1"/>
  <c r="AD10" i="4"/>
  <c r="AJ11" i="4" s="1"/>
  <c r="AD9" i="4"/>
  <c r="AJ10" i="4" s="1"/>
  <c r="AD8" i="4"/>
  <c r="AJ9" i="4" s="1"/>
  <c r="AC57" i="2"/>
  <c r="AD57" i="2" s="1"/>
  <c r="AD7" i="2"/>
  <c r="Q11" i="10"/>
  <c r="C6" i="7"/>
  <c r="D5" i="7" s="1"/>
  <c r="AK14" i="2"/>
  <c r="B41" i="13"/>
  <c r="AK8" i="2"/>
  <c r="AD11" i="2"/>
  <c r="AD6" i="2"/>
  <c r="D6" i="13"/>
  <c r="Q13" i="10"/>
  <c r="AD12" i="2"/>
  <c r="AD13" i="2"/>
  <c r="AK12" i="2"/>
  <c r="Q16" i="9"/>
  <c r="R8" i="9" s="1"/>
  <c r="B25" i="13"/>
  <c r="C25" i="13" s="1"/>
  <c r="C14" i="13"/>
  <c r="D8" i="13" s="1"/>
  <c r="B40" i="13"/>
  <c r="D4" i="13"/>
  <c r="B26" i="13"/>
  <c r="C26" i="13" s="1"/>
  <c r="AK11" i="2"/>
  <c r="AK15" i="2"/>
  <c r="AK7" i="2"/>
  <c r="AK13" i="2"/>
  <c r="AK9" i="2"/>
  <c r="AC46" i="4"/>
  <c r="AD46" i="4" s="1"/>
  <c r="AC47" i="4"/>
  <c r="AD47" i="4" s="1"/>
  <c r="P16" i="10"/>
  <c r="Q14" i="10" s="1"/>
  <c r="P21" i="10"/>
  <c r="Q6" i="10"/>
  <c r="AD9" i="2"/>
  <c r="AD14" i="2"/>
  <c r="Q12" i="10"/>
  <c r="AD10" i="2"/>
  <c r="R9" i="9"/>
  <c r="D12" i="13"/>
  <c r="Q21" i="9"/>
  <c r="D10" i="13" l="1"/>
  <c r="D9" i="13"/>
  <c r="D5" i="13"/>
  <c r="AJ17" i="4"/>
  <c r="AK8" i="4" s="1"/>
  <c r="D3" i="7"/>
  <c r="R14" i="9"/>
  <c r="R6" i="9"/>
  <c r="R10" i="9"/>
  <c r="R15" i="9"/>
  <c r="R7" i="9"/>
  <c r="R13" i="9"/>
  <c r="Q7" i="10"/>
  <c r="Q15" i="10"/>
  <c r="Q10" i="10"/>
  <c r="Q9" i="10"/>
  <c r="Q8" i="10"/>
  <c r="B42" i="13"/>
  <c r="C41" i="13" s="1"/>
  <c r="R11" i="9"/>
  <c r="D11" i="13"/>
  <c r="D7" i="13"/>
  <c r="R12" i="9"/>
  <c r="D13" i="13"/>
  <c r="D2" i="7"/>
  <c r="D4" i="7"/>
  <c r="D14" i="13" l="1"/>
  <c r="AK11" i="4"/>
  <c r="AK13" i="4"/>
  <c r="AK7" i="4"/>
  <c r="AK14" i="4"/>
  <c r="AK15" i="4"/>
  <c r="AP9" i="4"/>
  <c r="AK9" i="4"/>
  <c r="AK10" i="4"/>
  <c r="AK12" i="4"/>
  <c r="C40" i="13"/>
  <c r="AK17" i="4" l="1"/>
  <c r="AQ7" i="4"/>
  <c r="AP8" i="4"/>
  <c r="AQ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ID#AAABxF_YwYY
IE ANGELA RESTREPO    (2026-03-09 01:10:47)
Ciencias Naturales</t>
        </r>
      </text>
    </comment>
    <comment ref="F2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ID#AAAB1fIQJIs
IE ANGELA RESTREPO    (2026-03-09 01:10:47)
Ciencias De La Investigacion</t>
        </r>
      </text>
    </comment>
    <comment ref="G2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ID#AAAB1fE57rU
IE ANGELA RESTREPO    (2026-03-09 01:10:47)
Ciencias Sociales (historia, Geografía, Constitución Política Y Democracia.)</t>
        </r>
      </text>
    </comment>
    <comment ref="I2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ID#AAABxF_YwWQ
IE ANGELA RESTREPO    (2026-03-09 01:10:47)
Educacion Etica  Y  En Valores Humanos</t>
        </r>
      </text>
    </comment>
    <comment ref="J2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ID#AAABxF_YwYo
IE ANGELA RESTREPO    (2026-03-09 01:10:47)
Educación Artistica Y Cultural</t>
        </r>
      </text>
    </comment>
    <comment ref="K2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ID#AAABxF_YwVw
IE ANGELA RESTREPO    (2026-03-09 01:10:47)
Educación Física, Recreación Y Deportes</t>
        </r>
      </text>
    </comment>
    <comment ref="M2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ID#AAABxF_YwVU
IE ANGELA RESTREPO    (2026-03-09 01:10:47)
Lengua Castellana</t>
        </r>
      </text>
    </comment>
    <comment ref="N2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ID#AAABxF_YwWI
IE ANGELA RESTREPO    (2026-03-09 01:10:47)
Idioma Extranjero</t>
        </r>
      </text>
    </comment>
    <comment ref="O2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ID#AAAB1fE57q4
IE ANGELA RESTREPO    (2026-03-09 01:10:47)
Lectoescritura</t>
        </r>
      </text>
    </comment>
    <comment ref="Q2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ID#AAAB1fE57q8
IE ANGELA RESTREPO    (2026-03-09 01:10:47)
Estadistica</t>
        </r>
      </text>
    </comment>
    <comment ref="R2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ID#AAABxF_YwXs
IE ANGELA RESTREPO    (2026-03-09 01:10:47)
Matematicas.</t>
        </r>
      </text>
    </comment>
    <comment ref="S2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ID#AAABxF_YwVg
IE ANGELA RESTREPO    (2026-03-09 01:10:47)
Emprendimiento</t>
        </r>
      </text>
    </comment>
    <comment ref="T2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ID#AAABxF_YwXI
IE ANGELA RESTREPO    (2026-03-09 01:10:47)
Tecnologia</t>
        </r>
      </text>
    </comment>
    <comment ref="V2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ID#AAABxF_YwVY
IE ANGELA RESTREPO    (2026-03-09 01:10:47)
Educacion Religiosa</t>
        </r>
      </text>
    </comment>
    <comment ref="W40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ID#AAABxF_YwYA
IE ANGELA RESTREPO    (2026-03-09 01:10:47)
Promedio de perdidos por período y materia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18q1Cf6X6aOY5AJoRSlnuLjEP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ID#AAAB1fE57rI
IE ANGELA RESTREPO    (2026-03-09 01:10:47)
Ciencias Naturales</t>
        </r>
      </text>
    </comment>
    <comment ref="C4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ID#AAABxF_YwZc
IE ANGELA RESTREPO    (2026-03-09 01:10:47)
Ciencias De La Investigacion</t>
        </r>
      </text>
    </comment>
    <comment ref="C6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ID#AAABxF_YwYs
IE ANGELA RESTREPO    (2026-03-09 01:10:47)
Educacion Etica  Y  En Valores Humanos</t>
        </r>
      </text>
    </comment>
    <comment ref="C7" authorId="0" shapeId="0" xr:uid="{00000000-0006-0000-0200-000004000000}">
      <text>
        <r>
          <rPr>
            <sz val="11"/>
            <color theme="1"/>
            <rFont val="Calibri"/>
            <scheme val="minor"/>
          </rPr>
          <t>======
ID#AAABxF_YwV0
IE ANGELA RESTREPO    (2026-03-09 01:10:47)
Educación Artistica Y Cultural</t>
        </r>
      </text>
    </comment>
    <comment ref="C8" authorId="0" shapeId="0" xr:uid="{00000000-0006-0000-0200-000005000000}">
      <text>
        <r>
          <rPr>
            <sz val="11"/>
            <color theme="1"/>
            <rFont val="Calibri"/>
            <scheme val="minor"/>
          </rPr>
          <t>======
ID#AAABxF_YwYQ
IE ANGELA RESTREPO    (2026-03-09 01:10:47)
Educación Física, Recreación Y Deportes</t>
        </r>
      </text>
    </comment>
    <comment ref="C9" authorId="0" shapeId="0" xr:uid="{00000000-0006-0000-0200-000006000000}">
      <text>
        <r>
          <rPr>
            <sz val="11"/>
            <color theme="1"/>
            <rFont val="Calibri"/>
            <scheme val="minor"/>
          </rPr>
          <t>======
ID#AAAB1fE57rY
IE ANGELA RESTREPO    (2026-03-09 01:10:47)
Lengua Castellana</t>
        </r>
      </text>
    </comment>
    <comment ref="C10" authorId="0" shapeId="0" xr:uid="{00000000-0006-0000-0200-000007000000}">
      <text>
        <r>
          <rPr>
            <sz val="11"/>
            <color theme="1"/>
            <rFont val="Calibri"/>
            <scheme val="minor"/>
          </rPr>
          <t>======
ID#AAABxF_YwXw
IE ANGELA RESTREPO    (2026-03-09 01:10:47)
Idioma Extranjero</t>
        </r>
      </text>
    </comment>
    <comment ref="C11" authorId="0" shapeId="0" xr:uid="{00000000-0006-0000-0200-000008000000}">
      <text>
        <r>
          <rPr>
            <sz val="11"/>
            <color theme="1"/>
            <rFont val="Calibri"/>
            <scheme val="minor"/>
          </rPr>
          <t>======
ID#AAABxF_YwV4
IE ANGELA RESTREPO    (2026-03-09 01:10:47)
Lectoescritura</t>
        </r>
      </text>
    </comment>
    <comment ref="C12" authorId="0" shapeId="0" xr:uid="{00000000-0006-0000-0200-000009000000}">
      <text>
        <r>
          <rPr>
            <sz val="11"/>
            <color theme="1"/>
            <rFont val="Calibri"/>
            <scheme val="minor"/>
          </rPr>
          <t>======
ID#AAABxF_YwYw
IE ANGELA RESTREPO    (2026-03-09 01:10:47)
Estadistica</t>
        </r>
      </text>
    </comment>
    <comment ref="C13" authorId="0" shapeId="0" xr:uid="{00000000-0006-0000-0200-00000A000000}">
      <text>
        <r>
          <rPr>
            <sz val="11"/>
            <color theme="1"/>
            <rFont val="Calibri"/>
            <scheme val="minor"/>
          </rPr>
          <t>======
ID#AAABxF_YwW8
IE ANGELA RESTREPO    (2026-03-09 01:10:47)
Matematicas.</t>
        </r>
      </text>
    </comment>
    <comment ref="C14" authorId="0" shapeId="0" xr:uid="{00000000-0006-0000-0200-00000B000000}">
      <text>
        <r>
          <rPr>
            <sz val="11"/>
            <color theme="1"/>
            <rFont val="Calibri"/>
            <scheme val="minor"/>
          </rPr>
          <t>======
ID#AAABxF_YwX4
IE ANGELA RESTREPO    (2026-03-09 01:10:47)
Tecnologia</t>
        </r>
      </text>
    </comment>
    <comment ref="C16" authorId="0" shapeId="0" xr:uid="{00000000-0006-0000-0200-00000C000000}">
      <text>
        <r>
          <rPr>
            <sz val="11"/>
            <color theme="1"/>
            <rFont val="Calibri"/>
            <scheme val="minor"/>
          </rPr>
          <t>======
ID#AAABxF_YwXE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3Nfa/Jb1zAUnicVDfZ1wfCiDqX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ID#AAABxF_YwY8
IE ANGELA RESTREPO    (2026-03-09 01:10:47)
Ciencias Naturales</t>
        </r>
      </text>
    </comment>
    <comment ref="F2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ID#AAABxF_YwXM
IE ANGELA RESTREPO    (2026-03-09 01:10:47)
Ciencias De La Investigacion</t>
        </r>
      </text>
    </comment>
    <comment ref="G2" authorId="0" shapeId="0" xr:uid="{00000000-0006-0000-0300-000003000000}">
      <text>
        <r>
          <rPr>
            <sz val="11"/>
            <color theme="1"/>
            <rFont val="Calibri"/>
            <scheme val="minor"/>
          </rPr>
          <t>======
ID#AAABxF_YwX0
IE ANGELA RESTREPO    (2026-03-09 01:10:47)
Ciencias Sociales (historia, Geografía, Constitución Política Y Democracia.)</t>
        </r>
      </text>
    </comment>
    <comment ref="I2" authorId="0" shapeId="0" xr:uid="{00000000-0006-0000-0300-000004000000}">
      <text>
        <r>
          <rPr>
            <sz val="11"/>
            <color theme="1"/>
            <rFont val="Calibri"/>
            <scheme val="minor"/>
          </rPr>
          <t>======
ID#AAABxF_YwVk
IE ANGELA RESTREPO    (2026-03-09 01:10:47)
Educacion Etica  Y  En Valores Humanos</t>
        </r>
      </text>
    </comment>
    <comment ref="J2" authorId="0" shapeId="0" xr:uid="{00000000-0006-0000-0300-000005000000}">
      <text>
        <r>
          <rPr>
            <sz val="11"/>
            <color theme="1"/>
            <rFont val="Calibri"/>
            <scheme val="minor"/>
          </rPr>
          <t>======
ID#AAAB1fIQJIo
IE ANGELA RESTREPO    (2026-03-09 01:10:47)
Educación Artistica Y Cultural</t>
        </r>
      </text>
    </comment>
    <comment ref="K2" authorId="0" shapeId="0" xr:uid="{00000000-0006-0000-0300-000006000000}">
      <text>
        <r>
          <rPr>
            <sz val="11"/>
            <color theme="1"/>
            <rFont val="Calibri"/>
            <scheme val="minor"/>
          </rPr>
          <t>======
ID#AAAB1fE57rQ
IE ANGELA RESTREPO    (2026-03-09 01:10:47)
Educación Física, Recreación Y Deportes</t>
        </r>
      </text>
    </comment>
    <comment ref="M2" authorId="0" shapeId="0" xr:uid="{00000000-0006-0000-0300-000007000000}">
      <text>
        <r>
          <rPr>
            <sz val="11"/>
            <color theme="1"/>
            <rFont val="Calibri"/>
            <scheme val="minor"/>
          </rPr>
          <t>======
ID#AAABxF_YwYk
IE ANGELA RESTREPO    (2026-03-09 01:10:47)
Lengua Castellana</t>
        </r>
      </text>
    </comment>
    <comment ref="N2" authorId="0" shapeId="0" xr:uid="{00000000-0006-0000-0300-000008000000}">
      <text>
        <r>
          <rPr>
            <sz val="11"/>
            <color theme="1"/>
            <rFont val="Calibri"/>
            <scheme val="minor"/>
          </rPr>
          <t>======
ID#AAAB1fIQJI0
IE ANGELA RESTREPO    (2026-03-09 01:10:47)
Idioma Extranjero</t>
        </r>
      </text>
    </comment>
    <comment ref="O2" authorId="0" shapeId="0" xr:uid="{00000000-0006-0000-0300-000009000000}">
      <text>
        <r>
          <rPr>
            <sz val="11"/>
            <color theme="1"/>
            <rFont val="Calibri"/>
            <scheme val="minor"/>
          </rPr>
          <t>======
ID#AAABxF_YwY4
IE ANGELA RESTREPO    (2026-03-09 01:10:47)
Lectoescritura</t>
        </r>
      </text>
    </comment>
    <comment ref="Q2" authorId="0" shapeId="0" xr:uid="{00000000-0006-0000-0300-00000A000000}">
      <text>
        <r>
          <rPr>
            <sz val="11"/>
            <color theme="1"/>
            <rFont val="Calibri"/>
            <scheme val="minor"/>
          </rPr>
          <t>======
ID#AAABxF_YwWM
IE ANGELA RESTREPO    (2026-03-09 01:10:47)
Estadistica</t>
        </r>
      </text>
    </comment>
    <comment ref="R2" authorId="0" shapeId="0" xr:uid="{00000000-0006-0000-0300-00000B000000}">
      <text>
        <r>
          <rPr>
            <sz val="11"/>
            <color theme="1"/>
            <rFont val="Calibri"/>
            <scheme val="minor"/>
          </rPr>
          <t>======
ID#AAABxF_YwZE
IE ANGELA RESTREPO    (2026-03-09 01:10:47)
Matematicas.</t>
        </r>
      </text>
    </comment>
    <comment ref="S2" authorId="0" shapeId="0" xr:uid="{00000000-0006-0000-0300-00000C000000}">
      <text>
        <r>
          <rPr>
            <sz val="11"/>
            <color theme="1"/>
            <rFont val="Calibri"/>
            <scheme val="minor"/>
          </rPr>
          <t>======
ID#AAABxF_YwYI
IE ANGELA RESTREPO    (2026-03-09 01:10:47)
Emprendimiento</t>
        </r>
      </text>
    </comment>
    <comment ref="T2" authorId="0" shapeId="0" xr:uid="{00000000-0006-0000-0300-00000D000000}">
      <text>
        <r>
          <rPr>
            <sz val="11"/>
            <color theme="1"/>
            <rFont val="Calibri"/>
            <scheme val="minor"/>
          </rPr>
          <t>======
ID#AAABxF_YwW0
IE ANGELA RESTREPO    (2026-03-09 01:10:47)
Tecnologia</t>
        </r>
      </text>
    </comment>
    <comment ref="V2" authorId="0" shapeId="0" xr:uid="{00000000-0006-0000-0300-00000E000000}">
      <text>
        <r>
          <rPr>
            <sz val="11"/>
            <color theme="1"/>
            <rFont val="Calibri"/>
            <scheme val="minor"/>
          </rPr>
          <t>======
ID#AAABxF_YwXY
IE ANGELA RESTREPO    (2026-03-09 01:10:47)
Educacion Religiosa</t>
        </r>
      </text>
    </comment>
    <comment ref="W30" authorId="0" shapeId="0" xr:uid="{00000000-0006-0000-0300-00000F000000}">
      <text>
        <r>
          <rPr>
            <sz val="11"/>
            <color theme="1"/>
            <rFont val="Calibri"/>
            <scheme val="minor"/>
          </rPr>
          <t>======
ID#AAABxF_YwZM
IE ANGELA RESTREPO    (2026-03-09 01:10:47)
Promedio de perdidos por período y materia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5n4R+5gHVoq60GQhdNrb/4YefEA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ID#AAABxF_YwWY
IE ANGELA RESTREPO    (2026-03-09 01:10:47)
Ciencias Naturales</t>
        </r>
      </text>
    </comment>
    <comment ref="B11" authorId="0" shapeId="0" xr:uid="{00000000-0006-0000-0500-000002000000}">
      <text>
        <r>
          <rPr>
            <sz val="11"/>
            <color theme="1"/>
            <rFont val="Calibri"/>
            <scheme val="minor"/>
          </rPr>
          <t>======
ID#AAAB1fE57rM
IE ANGELA RESTREPO    (2026-03-09 01:10:47)
Ciencias De La Investigacion</t>
        </r>
      </text>
    </comment>
    <comment ref="B12" authorId="0" shapeId="0" xr:uid="{00000000-0006-0000-0500-000003000000}">
      <text>
        <r>
          <rPr>
            <sz val="11"/>
            <color theme="1"/>
            <rFont val="Calibri"/>
            <scheme val="minor"/>
          </rPr>
          <t>======
ID#AAABxF_YwXA
IE ANGELA RESTREPO    (2026-03-09 01:10:47)
Ciencias Sociales (historia, Geografía, Constitución Política Y Democracia.)</t>
        </r>
      </text>
    </comment>
    <comment ref="B14" authorId="0" shapeId="0" xr:uid="{00000000-0006-0000-0500-000004000000}">
      <text>
        <r>
          <rPr>
            <sz val="11"/>
            <color theme="1"/>
            <rFont val="Calibri"/>
            <scheme val="minor"/>
          </rPr>
          <t>======
ID#AAAB1fIQJIk
IE ANGELA RESTREPO    (2026-03-09 01:10:47)
Educación Artistica Y Cultural</t>
        </r>
      </text>
    </comment>
    <comment ref="B15" authorId="0" shapeId="0" xr:uid="{00000000-0006-0000-0500-000005000000}">
      <text>
        <r>
          <rPr>
            <sz val="11"/>
            <color theme="1"/>
            <rFont val="Calibri"/>
            <scheme val="minor"/>
          </rPr>
          <t>======
ID#AAABxF_YwWk
IE ANGELA RESTREPO    (2026-03-09 01:10:47)
Educacion Etica  Y  En Valores Humanos</t>
        </r>
      </text>
    </comment>
    <comment ref="B16" authorId="0" shapeId="0" xr:uid="{00000000-0006-0000-0500-000006000000}">
      <text>
        <r>
          <rPr>
            <sz val="11"/>
            <color theme="1"/>
            <rFont val="Calibri"/>
            <scheme val="minor"/>
          </rPr>
          <t>======
ID#AAABxF_YwXk
IE ANGELA RESTREPO    (2026-03-09 01:10:47)
Educación Física, Recreación Y Deportes</t>
        </r>
      </text>
    </comment>
    <comment ref="B18" authorId="0" shapeId="0" xr:uid="{00000000-0006-0000-0500-000007000000}">
      <text>
        <r>
          <rPr>
            <sz val="11"/>
            <color theme="1"/>
            <rFont val="Calibri"/>
            <scheme val="minor"/>
          </rPr>
          <t>======
ID#AAABxF_YwYE
IE ANGELA RESTREPO    (2026-03-09 01:10:47)
Lengua Castellana</t>
        </r>
      </text>
    </comment>
    <comment ref="B19" authorId="0" shapeId="0" xr:uid="{00000000-0006-0000-0500-000008000000}">
      <text>
        <r>
          <rPr>
            <sz val="11"/>
            <color theme="1"/>
            <rFont val="Calibri"/>
            <scheme val="minor"/>
          </rPr>
          <t>======
ID#AAABxF_YwZU
IE ANGELA RESTREPO    (2026-03-09 01:10:47)
Idioma Extranjero</t>
        </r>
      </text>
    </comment>
    <comment ref="B20" authorId="0" shapeId="0" xr:uid="{00000000-0006-0000-0500-000009000000}">
      <text>
        <r>
          <rPr>
            <sz val="11"/>
            <color theme="1"/>
            <rFont val="Calibri"/>
            <scheme val="minor"/>
          </rPr>
          <t>======
ID#AAABxF_YwZQ
IE ANGELA RESTREPO    (2026-03-09 01:10:47)
Lectoescritura</t>
        </r>
      </text>
    </comment>
    <comment ref="B21" authorId="0" shapeId="0" xr:uid="{00000000-0006-0000-0500-00000A000000}">
      <text>
        <r>
          <rPr>
            <sz val="11"/>
            <color theme="1"/>
            <rFont val="Calibri"/>
            <scheme val="minor"/>
          </rPr>
          <t>======
ID#AAABxF_YwXc
IE ANGELA RESTREPO    (2026-03-09 01:10:47)
Estadistica</t>
        </r>
      </text>
    </comment>
    <comment ref="B22" authorId="0" shapeId="0" xr:uid="{00000000-0006-0000-0500-00000B000000}">
      <text>
        <r>
          <rPr>
            <sz val="11"/>
            <color theme="1"/>
            <rFont val="Calibri"/>
            <scheme val="minor"/>
          </rPr>
          <t>======
ID#AAABxF_YwYc
IE ANGELA RESTREPO    (2026-03-09 01:10:47)
Matematicas.</t>
        </r>
      </text>
    </comment>
    <comment ref="B23" authorId="0" shapeId="0" xr:uid="{00000000-0006-0000-0500-00000C000000}">
      <text>
        <r>
          <rPr>
            <sz val="11"/>
            <color theme="1"/>
            <rFont val="Calibri"/>
            <scheme val="minor"/>
          </rPr>
          <t>======
ID#AAABxF_YwWs
IE ANGELA RESTREPO    (2026-03-09 01:10:47)
Geometria</t>
        </r>
      </text>
    </comment>
    <comment ref="B24" authorId="0" shapeId="0" xr:uid="{00000000-0006-0000-0500-00000D000000}">
      <text>
        <r>
          <rPr>
            <sz val="11"/>
            <color theme="1"/>
            <rFont val="Calibri"/>
            <scheme val="minor"/>
          </rPr>
          <t>======
ID#AAAB1fIQJIw
IE ANGELA RESTREPO    (2026-03-09 01:10:47)
Emprendimiento</t>
        </r>
      </text>
    </comment>
    <comment ref="B25" authorId="0" shapeId="0" xr:uid="{00000000-0006-0000-0500-00000E000000}">
      <text>
        <r>
          <rPr>
            <sz val="11"/>
            <color theme="1"/>
            <rFont val="Calibri"/>
            <scheme val="minor"/>
          </rPr>
          <t>======
ID#AAABxF_YwZY
IE ANGELA RESTREPO    (2026-03-09 01:10:47)
Tecnologia</t>
        </r>
      </text>
    </comment>
    <comment ref="B27" authorId="0" shapeId="0" xr:uid="{00000000-0006-0000-0500-00000F000000}">
      <text>
        <r>
          <rPr>
            <sz val="11"/>
            <color theme="1"/>
            <rFont val="Calibri"/>
            <scheme val="minor"/>
          </rPr>
          <t>======
ID#AAABxF_YwWE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ApfvMpiFLToVkC3Li+48ELys8A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800-000001000000}">
      <text>
        <r>
          <rPr>
            <sz val="11"/>
            <color theme="1"/>
            <rFont val="Calibri"/>
            <scheme val="minor"/>
          </rPr>
          <t>======
ID#AAAB1fE57rA
IE ANGELA RESTREPO    (2026-03-09 01:10:47)
Ciencias Sociales (historia, Geografía, Constitución Política Y Democracia.)</t>
        </r>
      </text>
    </comment>
    <comment ref="F3" authorId="0" shapeId="0" xr:uid="{00000000-0006-0000-0800-000002000000}">
      <text>
        <r>
          <rPr>
            <sz val="11"/>
            <color theme="1"/>
            <rFont val="Calibri"/>
            <scheme val="minor"/>
          </rPr>
          <t>======
ID#AAABxF_YwYU
IE ANGELA RESTREPO    (2026-03-09 01:10:47)
Educación Artistica Y Cultural</t>
        </r>
      </text>
    </comment>
    <comment ref="G3" authorId="0" shapeId="0" xr:uid="{00000000-0006-0000-0800-000003000000}">
      <text>
        <r>
          <rPr>
            <sz val="11"/>
            <color theme="1"/>
            <rFont val="Calibri"/>
            <scheme val="minor"/>
          </rPr>
          <t>======
ID#AAABxF_YwWw
IE ANGELA RESTREPO    (2026-03-09 01:10:47)
Educacion Etica  Y  En Valores Humanos</t>
        </r>
      </text>
    </comment>
    <comment ref="H3" authorId="0" shapeId="0" xr:uid="{00000000-0006-0000-0800-000004000000}">
      <text>
        <r>
          <rPr>
            <sz val="11"/>
            <color theme="1"/>
            <rFont val="Calibri"/>
            <scheme val="minor"/>
          </rPr>
          <t>======
ID#AAABxF_YwWc
IE ANGELA RESTREPO    (2026-03-09 01:10:47)
Educación Física, Recreación Y Deportes</t>
        </r>
      </text>
    </comment>
    <comment ref="I3" authorId="0" shapeId="0" xr:uid="{00000000-0006-0000-0800-000005000000}">
      <text>
        <r>
          <rPr>
            <sz val="11"/>
            <color theme="1"/>
            <rFont val="Calibri"/>
            <scheme val="minor"/>
          </rPr>
          <t>======
ID#AAABxF_YwXU
IE ANGELA RESTREPO    (2026-03-09 01:10:47)
Educacion Religiosa</t>
        </r>
      </text>
    </comment>
    <comment ref="L3" authorId="0" shapeId="0" xr:uid="{00000000-0006-0000-0800-000006000000}">
      <text>
        <r>
          <rPr>
            <sz val="11"/>
            <color theme="1"/>
            <rFont val="Calibri"/>
            <scheme val="minor"/>
          </rPr>
          <t>======
ID#AAABxF_YwZA
IE ANGELA RESTREPO    (2026-03-09 01:10:47)
Emprendimiento</t>
        </r>
      </text>
    </comment>
    <comment ref="M41" authorId="0" shapeId="0" xr:uid="{00000000-0006-0000-0800-000007000000}">
      <text>
        <r>
          <rPr>
            <sz val="11"/>
            <color theme="1"/>
            <rFont val="Calibri"/>
            <scheme val="minor"/>
          </rPr>
          <t>======
ID#AAABxF_YwVc
IE ANGELA RESTREPO    (2026-03-09 01:10:47)
Promedio de perdidos por período y materia</t>
        </r>
      </text>
    </comment>
    <comment ref="M42" authorId="0" shapeId="0" xr:uid="{00000000-0006-0000-0800-000008000000}">
      <text>
        <r>
          <rPr>
            <sz val="11"/>
            <color theme="1"/>
            <rFont val="Calibri"/>
            <scheme val="minor"/>
          </rPr>
          <t>======
ID#AAABxF_YwX8
IE ANGELA RESTREPO    (2026-03-09 01:10:47)
Promedio de perdidos por período y materia en porcentaje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nvOD78AjHVGXCDnT2Q8Qhk6zng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900-000001000000}">
      <text>
        <r>
          <rPr>
            <sz val="11"/>
            <color theme="1"/>
            <rFont val="Calibri"/>
            <scheme val="minor"/>
          </rPr>
          <t>======
ID#AAABxF_YwVs
IE ANGELA RESTREPO    (2026-03-09 01:10:47)
Ciencias Sociales (historia, Geografía, Constitución Política Y Democracia.)</t>
        </r>
      </text>
    </comment>
    <comment ref="G3" authorId="0" shapeId="0" xr:uid="{00000000-0006-0000-0900-000002000000}">
      <text>
        <r>
          <rPr>
            <sz val="11"/>
            <color theme="1"/>
            <rFont val="Calibri"/>
            <scheme val="minor"/>
          </rPr>
          <t>======
ID#AAABxF_YwWU
IE ANGELA RESTREPO    (2026-03-09 01:10:47)
Educación Artistica Y Cultural</t>
        </r>
      </text>
    </comment>
    <comment ref="H3" authorId="0" shapeId="0" xr:uid="{00000000-0006-0000-0900-000003000000}">
      <text>
        <r>
          <rPr>
            <sz val="11"/>
            <color theme="1"/>
            <rFont val="Calibri"/>
            <scheme val="minor"/>
          </rPr>
          <t>======
ID#AAAB1fE57q0
IE ANGELA RESTREPO    (2026-03-09 01:10:47)
Educación Física, Recreación Y Deportes</t>
        </r>
      </text>
    </comment>
    <comment ref="I3" authorId="0" shapeId="0" xr:uid="{00000000-0006-0000-0900-000004000000}">
      <text>
        <r>
          <rPr>
            <sz val="11"/>
            <color theme="1"/>
            <rFont val="Calibri"/>
            <scheme val="minor"/>
          </rPr>
          <t>======
ID#AAAB1fE57rE
IE ANGELA RESTREPO    (2026-03-09 01:10:47)
Educacion Religiosa</t>
        </r>
      </text>
    </comment>
    <comment ref="L3" authorId="0" shapeId="0" xr:uid="{00000000-0006-0000-0900-000005000000}">
      <text>
        <r>
          <rPr>
            <sz val="11"/>
            <color theme="1"/>
            <rFont val="Calibri"/>
            <scheme val="minor"/>
          </rPr>
          <t>======
ID#AAABxF_YwWA
IE ANGELA RESTREPO    (2026-03-09 01:10:47)
Emprendimiento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WXipmdhFTY5o6/lWmapYPlPdwfA=="/>
    </ext>
  </extL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A00-000001000000}">
      <text>
        <r>
          <rPr>
            <sz val="11"/>
            <color theme="1"/>
            <rFont val="Calibri"/>
            <scheme val="minor"/>
          </rPr>
          <t>======
ID#AAABxF_YwWg
IE ANGELA RESTREPO    (2026-03-09 01:10:47)
Ciencias Naturales</t>
        </r>
      </text>
    </comment>
    <comment ref="B3" authorId="0" shapeId="0" xr:uid="{00000000-0006-0000-0A00-000002000000}">
      <text>
        <r>
          <rPr>
            <sz val="11"/>
            <color theme="1"/>
            <rFont val="Calibri"/>
            <scheme val="minor"/>
          </rPr>
          <t>======
ID#AAABxF_YwXo
IE ANGELA RESTREPO    (2026-03-09 01:10:47)
Ciencias De La Investigacion</t>
        </r>
      </text>
    </comment>
    <comment ref="B5" authorId="0" shapeId="0" xr:uid="{00000000-0006-0000-0A00-000003000000}">
      <text>
        <r>
          <rPr>
            <sz val="11"/>
            <color theme="1"/>
            <rFont val="Calibri"/>
            <scheme val="minor"/>
          </rPr>
          <t>======
ID#AAABxF_YwY0
IE ANGELA RESTREPO    (2026-03-09 01:10:47)
Educacion Etica  Y  En Valores Humanos</t>
        </r>
      </text>
    </comment>
    <comment ref="B6" authorId="0" shapeId="0" xr:uid="{00000000-0006-0000-0A00-000004000000}">
      <text>
        <r>
          <rPr>
            <sz val="11"/>
            <color theme="1"/>
            <rFont val="Calibri"/>
            <scheme val="minor"/>
          </rPr>
          <t>======
ID#AAABxF_YwYM
IE ANGELA RESTREPO    (2026-03-09 01:10:47)
Educación Artistica Y Cultural</t>
        </r>
      </text>
    </comment>
    <comment ref="B7" authorId="0" shapeId="0" xr:uid="{00000000-0006-0000-0A00-000005000000}">
      <text>
        <r>
          <rPr>
            <sz val="11"/>
            <color theme="1"/>
            <rFont val="Calibri"/>
            <scheme val="minor"/>
          </rPr>
          <t>======
ID#AAABxF_YwXg
IE ANGELA RESTREPO    (2026-03-09 01:10:47)
Educación Física, Recreación Y Deportes</t>
        </r>
      </text>
    </comment>
    <comment ref="B8" authorId="0" shapeId="0" xr:uid="{00000000-0006-0000-0A00-000006000000}">
      <text>
        <r>
          <rPr>
            <sz val="11"/>
            <color theme="1"/>
            <rFont val="Calibri"/>
            <scheme val="minor"/>
          </rPr>
          <t>======
ID#AAABxF_YwV8
IE ANGELA RESTREPO    (2026-03-09 01:10:47)
Lengua Castellana</t>
        </r>
      </text>
    </comment>
    <comment ref="B9" authorId="0" shapeId="0" xr:uid="{00000000-0006-0000-0A00-000007000000}">
      <text>
        <r>
          <rPr>
            <sz val="11"/>
            <color theme="1"/>
            <rFont val="Calibri"/>
            <scheme val="minor"/>
          </rPr>
          <t>======
ID#AAABxF_YwWo
IE ANGELA RESTREPO    (2026-03-09 01:10:47)
Idioma Extranjero</t>
        </r>
      </text>
    </comment>
    <comment ref="B10" authorId="0" shapeId="0" xr:uid="{00000000-0006-0000-0A00-000008000000}">
      <text>
        <r>
          <rPr>
            <sz val="11"/>
            <color theme="1"/>
            <rFont val="Calibri"/>
            <scheme val="minor"/>
          </rPr>
          <t>======
ID#AAABxF_YwVo
IE ANGELA RESTREPO    (2026-03-09 01:10:47)
Lectoescritura</t>
        </r>
      </text>
    </comment>
    <comment ref="B11" authorId="0" shapeId="0" xr:uid="{00000000-0006-0000-0A00-000009000000}">
      <text>
        <r>
          <rPr>
            <sz val="11"/>
            <color theme="1"/>
            <rFont val="Calibri"/>
            <scheme val="minor"/>
          </rPr>
          <t>======
ID#AAABxF_YwW4
IE ANGELA RESTREPO    (2026-03-09 01:10:47)
Estadistica</t>
        </r>
      </text>
    </comment>
    <comment ref="B12" authorId="0" shapeId="0" xr:uid="{00000000-0006-0000-0A00-00000A000000}">
      <text>
        <r>
          <rPr>
            <sz val="11"/>
            <color theme="1"/>
            <rFont val="Calibri"/>
            <scheme val="minor"/>
          </rPr>
          <t>======
ID#AAABxF_YwYg
IE ANGELA RESTREPO    (2026-03-09 01:10:47)
Matematicas.</t>
        </r>
      </text>
    </comment>
    <comment ref="B13" authorId="0" shapeId="0" xr:uid="{00000000-0006-0000-0A00-00000B000000}">
      <text>
        <r>
          <rPr>
            <sz val="11"/>
            <color theme="1"/>
            <rFont val="Calibri"/>
            <scheme val="minor"/>
          </rPr>
          <t>======
ID#AAABxF_YwXQ
IE ANGELA RESTREPO    (2026-03-09 01:10:47)
Tecnologia</t>
        </r>
      </text>
    </comment>
    <comment ref="B15" authorId="0" shapeId="0" xr:uid="{00000000-0006-0000-0A00-00000C000000}">
      <text>
        <r>
          <rPr>
            <sz val="11"/>
            <color theme="1"/>
            <rFont val="Calibri"/>
            <scheme val="minor"/>
          </rPr>
          <t>======
ID#AAABxF_YwZI
IE ANGELA RESTREPO    (2026-03-09 01:10:47)
Educacion Religiosa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Uv5oAFWATrezigOaQ2RF/faC0pA=="/>
    </ext>
  </extLst>
</comments>
</file>

<file path=xl/sharedStrings.xml><?xml version="1.0" encoding="utf-8"?>
<sst xmlns="http://schemas.openxmlformats.org/spreadsheetml/2006/main" count="947" uniqueCount="298">
  <si>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</si>
  <si>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</si>
  <si>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</si>
  <si>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</si>
  <si>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</si>
  <si>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</si>
  <si>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</si>
  <si>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</si>
  <si>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</si>
  <si>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</si>
  <si>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</si>
  <si>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</si>
  <si>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</si>
  <si>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</si>
  <si>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</si>
  <si>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</si>
  <si>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</si>
  <si>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</si>
  <si>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</si>
  <si>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</si>
  <si>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</si>
  <si>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</si>
  <si>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</si>
  <si>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%</t>
  </si>
  <si>
    <t>Aprobando</t>
  </si>
  <si>
    <t>Reprobando</t>
  </si>
  <si>
    <t>Total Estudiantes</t>
  </si>
  <si>
    <t>Grupo:</t>
  </si>
  <si>
    <t>8º-01</t>
  </si>
  <si>
    <t>No Aprobados</t>
  </si>
  <si>
    <t>Nro</t>
  </si>
  <si>
    <t>Matric</t>
  </si>
  <si>
    <t>Nombres Y Apellidos</t>
  </si>
  <si>
    <t>Area de Ciencias</t>
  </si>
  <si>
    <t>Ciencias Naturales</t>
  </si>
  <si>
    <t>Ciencias De La Investigacion</t>
  </si>
  <si>
    <t>Ciencias Sociales (historia, Geografía, Constitución Política Y Democracia.)</t>
  </si>
  <si>
    <t>Sociales</t>
  </si>
  <si>
    <t>Historia de Colombia</t>
  </si>
  <si>
    <t>Educación Artistica Y Cultural</t>
  </si>
  <si>
    <t>Educación Física, Recreación Y Deportes</t>
  </si>
  <si>
    <t>Area Humanidades</t>
  </si>
  <si>
    <t>Lengua Castellana</t>
  </si>
  <si>
    <t>Idioma Extranjero</t>
  </si>
  <si>
    <t>Lectoescritura</t>
  </si>
  <si>
    <t>Area de Matematicas</t>
  </si>
  <si>
    <t>Estadistica</t>
  </si>
  <si>
    <t>Matematicas.</t>
  </si>
  <si>
    <t>Tecnologia e Informatica</t>
  </si>
  <si>
    <t>Informatica</t>
  </si>
  <si>
    <t>Tecnologia</t>
  </si>
  <si>
    <t>Educacion Religiosa Y Etica</t>
  </si>
  <si>
    <t>COMPUESTAS</t>
  </si>
  <si>
    <t>SIMPLES</t>
  </si>
  <si>
    <t>OBSERVACION</t>
  </si>
  <si>
    <t>Materias</t>
  </si>
  <si>
    <t>Areas</t>
  </si>
  <si>
    <t>ACEVEDO JUAN ESTEBAN</t>
  </si>
  <si>
    <t>X</t>
  </si>
  <si>
    <t>Acevedo Marin Maria Alejandra</t>
  </si>
  <si>
    <t># Areas</t>
  </si>
  <si>
    <t>Cantidad Estudiantes</t>
  </si>
  <si>
    <t>Aguilera Navs  Luis Carlos Enrique</t>
  </si>
  <si>
    <t># de Areas</t>
  </si>
  <si>
    <t>Areas Reprobadas</t>
  </si>
  <si>
    <t>Altamar Matos Yexibel Zair</t>
  </si>
  <si>
    <t xml:space="preserve">Atencio Avila Neiro Luis </t>
  </si>
  <si>
    <t>Ayala Florez Margarita María</t>
  </si>
  <si>
    <t>Betancur Guitierrez Ximena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</si>
  <si>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</si>
  <si>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</si>
  <si>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</si>
  <si>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</si>
  <si>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</si>
  <si>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</si>
  <si>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</si>
  <si>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</si>
  <si>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</si>
  <si>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</si>
  <si>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FRANCO SANCHEZ ALEJANDRA</t>
  </si>
  <si>
    <t>x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</si>
  <si>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</si>
  <si>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</si>
  <si>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</si>
  <si>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</si>
  <si>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</si>
  <si>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</si>
  <si>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</si>
  <si>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</si>
  <si>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</si>
  <si>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</si>
  <si>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</si>
  <si>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</si>
  <si>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</si>
  <si>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</si>
  <si>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</si>
  <si>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</si>
  <si>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</si>
  <si>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</si>
  <si>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Fa</t>
  </si>
  <si>
    <t>Fr</t>
  </si>
  <si>
    <t>Pasan directos a Octavo</t>
  </si>
  <si>
    <t>Quedan con logros pendientes</t>
  </si>
  <si>
    <t>Tu año esta en riesgo de perderse</t>
  </si>
  <si>
    <t>Total estudiantes</t>
  </si>
  <si>
    <t>MATERIAS</t>
  </si>
  <si>
    <t># DE ESTUDIANTES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</si>
  <si>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</si>
  <si>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</si>
  <si>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</si>
  <si>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</si>
  <si>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</si>
  <si>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</si>
  <si>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</si>
  <si>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</si>
  <si>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t>Item</t>
  </si>
  <si>
    <t>Cantidad</t>
  </si>
  <si>
    <t>Tienen logros pendientes</t>
  </si>
  <si>
    <t>TOTAL</t>
  </si>
  <si>
    <r>
      <rPr>
        <sz val="8"/>
        <color rgb="FF000000"/>
        <rFont val="Arial"/>
      </rPr>
      <t xml:space="preserve">CORREA ESPITIA SANTIAGO </t>
    </r>
  </si>
  <si>
    <t>FLORES JARAMILLO TOMAS</t>
  </si>
  <si>
    <r>
      <rPr>
        <sz val="8"/>
        <color rgb="FF000000"/>
        <rFont val="Arial"/>
      </rPr>
      <t xml:space="preserve">FRANCO QUIROZ LUCIANA </t>
    </r>
  </si>
  <si>
    <r>
      <rPr>
        <sz val="8"/>
        <color rgb="FF000000"/>
        <rFont val="Arial"/>
      </rPr>
      <t xml:space="preserve">JARAMILLO PULGARIN MARIANA </t>
    </r>
  </si>
  <si>
    <r>
      <rPr>
        <sz val="8"/>
        <color rgb="FF000000"/>
        <rFont val="Arial"/>
      </rPr>
      <t xml:space="preserve">MARTINEZ CHALA DANIELA </t>
    </r>
  </si>
  <si>
    <r>
      <rPr>
        <sz val="8"/>
        <color rgb="FF000000"/>
        <rFont val="Arial"/>
      </rPr>
      <t xml:space="preserve">MOSQUERA CIRO VALERIA </t>
    </r>
  </si>
  <si>
    <r>
      <rPr>
        <sz val="8"/>
        <color rgb="FF000000"/>
        <rFont val="Arial"/>
      </rPr>
      <t>PALACIOS JARAMILLO XAVIER KAMIL</t>
    </r>
  </si>
  <si>
    <r>
      <rPr>
        <sz val="8"/>
        <color rgb="FF000000"/>
        <rFont val="Arial"/>
      </rPr>
      <t xml:space="preserve">POSADA TABARES SOFIA </t>
    </r>
  </si>
  <si>
    <r>
      <rPr>
        <sz val="8"/>
        <color rgb="FF000000"/>
        <rFont val="Arial"/>
      </rPr>
      <t xml:space="preserve">RODRIGUEZ AGUDELO MARIANGEL </t>
    </r>
  </si>
  <si>
    <t>Grado 8º-01</t>
  </si>
  <si>
    <t>INSTITUCION EDUCATIVA ANGELA RESTREPO MORENO</t>
  </si>
  <si>
    <t>Codigo:</t>
  </si>
  <si>
    <t>Estudiante:</t>
  </si>
  <si>
    <t>MATERIA</t>
  </si>
  <si>
    <t>NOTAS</t>
  </si>
  <si>
    <t>Historia Colombia</t>
  </si>
  <si>
    <t>Area de Humanidades</t>
  </si>
  <si>
    <t>Area de Metemáticas</t>
  </si>
  <si>
    <t>Marematicas</t>
  </si>
  <si>
    <t>Area de Tecnología e Informatica</t>
  </si>
  <si>
    <t>Materias que van perdiendo hasta el momento</t>
  </si>
  <si>
    <t>Calificación</t>
  </si>
  <si>
    <t>Superior</t>
  </si>
  <si>
    <t>Alta</t>
  </si>
  <si>
    <t>Basico</t>
  </si>
  <si>
    <t>Bajo</t>
  </si>
  <si>
    <t>6º-05</t>
  </si>
  <si>
    <t>Director:</t>
  </si>
  <si>
    <t>Ospina Moreno Javier</t>
  </si>
  <si>
    <t>Educacion Etica  Y  En Valores Humanos</t>
  </si>
  <si>
    <t>Educacion Religiosa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</si>
  <si>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</si>
  <si>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</si>
  <si>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</si>
  <si>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</si>
  <si>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</si>
  <si>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</si>
  <si>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</si>
  <si>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</si>
  <si>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</si>
  <si>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</si>
  <si>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</si>
  <si>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</si>
  <si>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</si>
  <si>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</si>
  <si>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</si>
  <si>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</si>
  <si>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</si>
  <si>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</si>
  <si>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</si>
  <si>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</si>
  <si>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</si>
  <si>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</si>
  <si>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</si>
  <si>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</si>
  <si>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</si>
  <si>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</si>
  <si>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</si>
  <si>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</si>
  <si>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</si>
  <si>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</si>
  <si>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</si>
  <si>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</si>
  <si>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</si>
  <si>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</si>
  <si>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</si>
  <si>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</si>
  <si>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</si>
  <si>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</si>
  <si>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</si>
  <si>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</si>
  <si>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</si>
  <si>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</si>
  <si>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</si>
  <si>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</si>
  <si>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</si>
  <si>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</si>
  <si>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</si>
  <si>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</si>
  <si>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</si>
  <si>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</si>
  <si>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</si>
  <si>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</si>
  <si>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</si>
  <si>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</si>
  <si>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</si>
  <si>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</si>
  <si>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</si>
  <si>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</si>
  <si>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</si>
  <si>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</si>
  <si>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</si>
  <si>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</si>
  <si>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</si>
  <si>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</si>
  <si>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</si>
  <si>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</si>
  <si>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</si>
  <si>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</si>
  <si>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</si>
  <si>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</si>
  <si>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170100</t>
  </si>
  <si>
    <r>
      <rPr>
        <sz val="8"/>
        <color rgb="FF000000"/>
        <rFont val="Arial"/>
      </rPr>
      <t xml:space="preserve">ALANDETE CORREA MARIANGEL </t>
    </r>
  </si>
  <si>
    <t>170086</t>
  </si>
  <si>
    <r>
      <rPr>
        <sz val="8"/>
        <color rgb="FF000000"/>
        <rFont val="Arial"/>
      </rPr>
      <t>ALEAN LENIS SALOME FERNANDA</t>
    </r>
  </si>
  <si>
    <t>080057</t>
  </si>
  <si>
    <r>
      <rPr>
        <sz val="8"/>
        <color rgb="FF000000"/>
        <rFont val="Arial"/>
      </rPr>
      <t xml:space="preserve">ALMANZA SANCHEZ NICOLAS </t>
    </r>
  </si>
  <si>
    <t>090076</t>
  </si>
  <si>
    <r>
      <rPr>
        <sz val="8"/>
        <color rgb="FF000000"/>
        <rFont val="Arial"/>
      </rPr>
      <t>AMAYA PEREZ LEANNY ANTHONELLA</t>
    </r>
  </si>
  <si>
    <t>100050</t>
  </si>
  <si>
    <r>
      <rPr>
        <sz val="8"/>
        <color rgb="FF000000"/>
        <rFont val="Arial"/>
      </rPr>
      <t xml:space="preserve">ARCIA MARTINEZ STEFANNY </t>
    </r>
  </si>
  <si>
    <t>150244</t>
  </si>
  <si>
    <r>
      <rPr>
        <sz val="8"/>
        <color rgb="FF000000"/>
        <rFont val="Arial"/>
      </rPr>
      <t>ARISTIZABAL BLANDON LAURA VALENTINA</t>
    </r>
  </si>
  <si>
    <t>150057</t>
  </si>
  <si>
    <r>
      <rPr>
        <sz val="8"/>
        <color rgb="FF000000"/>
        <rFont val="Arial"/>
      </rPr>
      <t xml:space="preserve">CARDENAS RAMIREZ LUCIANA </t>
    </r>
  </si>
  <si>
    <t>170214</t>
  </si>
  <si>
    <r>
      <rPr>
        <sz val="8"/>
        <color rgb="FF000000"/>
        <rFont val="Arial"/>
      </rPr>
      <t>CONTRERAS MENDEZ DAILY GABRIELA</t>
    </r>
  </si>
  <si>
    <t>170285</t>
  </si>
  <si>
    <r>
      <rPr>
        <sz val="8"/>
        <color rgb="FF000000"/>
        <rFont val="Arial"/>
      </rPr>
      <t xml:space="preserve">JARAMILLO CARDONA SALOME </t>
    </r>
  </si>
  <si>
    <t>170102</t>
  </si>
  <si>
    <r>
      <rPr>
        <sz val="8"/>
        <color rgb="FF000000"/>
        <rFont val="Arial"/>
      </rPr>
      <t xml:space="preserve">JIMENEZ BEDOYA VALERY </t>
    </r>
  </si>
  <si>
    <t>100125</t>
  </si>
  <si>
    <r>
      <rPr>
        <sz val="8"/>
        <color rgb="FF000000"/>
        <rFont val="Arial"/>
      </rPr>
      <t xml:space="preserve">JIMENEZ TORRES YUSNEILY </t>
    </r>
  </si>
  <si>
    <t>150688</t>
  </si>
  <si>
    <r>
      <rPr>
        <sz val="8"/>
        <color rgb="FF000000"/>
        <rFont val="Arial"/>
      </rPr>
      <t>MONTES ARBOLEDA VALERY SOFIA</t>
    </r>
  </si>
  <si>
    <t>140392</t>
  </si>
  <si>
    <r>
      <rPr>
        <sz val="8"/>
        <color rgb="FF000000"/>
        <rFont val="Arial"/>
      </rPr>
      <t xml:space="preserve">MOSQUERA MUÑOZ LUCIANA </t>
    </r>
  </si>
  <si>
    <t>140359</t>
  </si>
  <si>
    <r>
      <rPr>
        <sz val="8"/>
        <color rgb="FF000000"/>
        <rFont val="Arial"/>
      </rPr>
      <t xml:space="preserve">ORTIZ LOAIZA ASHLY </t>
    </r>
  </si>
  <si>
    <t>100171</t>
  </si>
  <si>
    <r>
      <rPr>
        <sz val="8"/>
        <color rgb="FF000000"/>
        <rFont val="Arial"/>
      </rPr>
      <t>OSORNO MONTES ALBEIRO ANTONIO</t>
    </r>
  </si>
  <si>
    <t>120228</t>
  </si>
  <si>
    <r>
      <rPr>
        <sz val="8"/>
        <color rgb="FF000000"/>
        <rFont val="Arial"/>
      </rPr>
      <t>PAZ MANSILLA ELIANNY YOLIMAR</t>
    </r>
  </si>
  <si>
    <t>090363</t>
  </si>
  <si>
    <r>
      <rPr>
        <sz val="8"/>
        <color rgb="FF000000"/>
        <rFont val="Arial"/>
      </rPr>
      <t xml:space="preserve">QUICENO MUÑOZ SALOME </t>
    </r>
  </si>
  <si>
    <t>170228</t>
  </si>
  <si>
    <r>
      <rPr>
        <sz val="8"/>
        <color rgb="FF000000"/>
        <rFont val="Arial"/>
      </rPr>
      <t>RENDON MADERA JUAN JOSE</t>
    </r>
  </si>
  <si>
    <t>130388</t>
  </si>
  <si>
    <r>
      <rPr>
        <sz val="8"/>
        <color rgb="FF000000"/>
        <rFont val="Arial"/>
      </rPr>
      <t>RIVERA RIVERA ANGEL DAVID</t>
    </r>
  </si>
  <si>
    <t>140335</t>
  </si>
  <si>
    <r>
      <rPr>
        <sz val="8"/>
        <color rgb="FF000000"/>
        <rFont val="Arial"/>
      </rPr>
      <t>TABORDA SEPULVEDA JUAN DAVID</t>
    </r>
  </si>
  <si>
    <t>140336</t>
  </si>
  <si>
    <r>
      <rPr>
        <sz val="8"/>
        <color rgb="FF000000"/>
        <rFont val="Arial"/>
      </rPr>
      <t xml:space="preserve">TABORDA TABORDA VALENTINA </t>
    </r>
  </si>
  <si>
    <t>130284</t>
  </si>
  <si>
    <r>
      <rPr>
        <sz val="8"/>
        <color rgb="FF000000"/>
        <rFont val="Arial"/>
      </rPr>
      <t>VARGAS ORTIZ MARIA ISABEL</t>
    </r>
  </si>
  <si>
    <t>170097</t>
  </si>
  <si>
    <r>
      <rPr>
        <sz val="8"/>
        <color rgb="FF000000"/>
        <rFont val="Arial"/>
      </rPr>
      <t xml:space="preserve">VELEZ CARDONA ISABELLA </t>
    </r>
  </si>
  <si>
    <t>170259</t>
  </si>
  <si>
    <r>
      <rPr>
        <sz val="8"/>
        <color rgb="FF000000"/>
        <rFont val="Arial"/>
      </rPr>
      <t>ZAPATA GALLEGO MARIA CAMILA</t>
    </r>
  </si>
  <si>
    <t>120453</t>
  </si>
  <si>
    <r>
      <rPr>
        <sz val="8"/>
        <color rgb="FF000000"/>
        <rFont val="Arial"/>
      </rPr>
      <t xml:space="preserve">ZAPATA HENAO SOFIA </t>
    </r>
  </si>
  <si>
    <t># Estudiantes</t>
  </si>
  <si>
    <t>Cero areas</t>
  </si>
  <si>
    <t>una o más</t>
  </si>
  <si>
    <t xml:space="preserve">CARDONA JIMENEZ MATIAS </t>
  </si>
  <si>
    <t>ARRIETA YANEZ JOHAN ALEXIS</t>
  </si>
  <si>
    <t>BALDOVINO ALDANA ISAAC DANIEL</t>
  </si>
  <si>
    <t>BOGADO OSTOS DEYKERSON ALEJANDRO</t>
  </si>
  <si>
    <t xml:space="preserve">CARVAJAL CARRILLO NICOLAS </t>
  </si>
  <si>
    <t>RABELES PEREZ JADITH LORENA</t>
  </si>
  <si>
    <t>REYES GONZALEZ DIEGO ALEJANDRO</t>
  </si>
  <si>
    <t>SARMIENTO BARRERA PAULA ANDREA</t>
  </si>
  <si>
    <t>TRUJILLO TRUJILLO MIGUEL ANGEL</t>
  </si>
  <si>
    <t>VALENCIA RAMIREZ MARIA PAULINA</t>
  </si>
  <si>
    <t xml:space="preserve">VILLADA MEJIA LUCIANA </t>
  </si>
  <si>
    <t>ZAPATA RENTERIA DULSE MARIA</t>
  </si>
  <si>
    <t>No tienen logros pendientes</t>
  </si>
  <si>
    <t>BOTERO  PEREZ VALERIA</t>
  </si>
  <si>
    <t>INFORME   FINAL I PERIODO 14/05/2026</t>
  </si>
  <si>
    <t>AREAS</t>
  </si>
  <si>
    <t xml:space="preserve">CARVAJAL RIVERA SUSANA </t>
  </si>
  <si>
    <t xml:space="preserve">CORREA CARTAGENA ISABELLA </t>
  </si>
  <si>
    <t>DELGADO OSUNA GRELIANYS RICHELL</t>
  </si>
  <si>
    <t>GAVIRIA URBIÑEZ DAFER SAMUEL</t>
  </si>
  <si>
    <t xml:space="preserve">MARIN CUADROS DAVID </t>
  </si>
  <si>
    <t>MOSQUERA GARCIA JUAN MANUEL</t>
  </si>
  <si>
    <t xml:space="preserve">PIZA CAMELO YORELIS </t>
  </si>
  <si>
    <t>SALDARRIAGA RENDON MARIA SOFIA</t>
  </si>
  <si>
    <t xml:space="preserve">SANTOS VELEZ DANNA SOFIA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</si>
</sst>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7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sz val="11"/>
      <name val="Calibri"/>
    </font>
    <font>
      <b/>
      <sz val="7"/>
      <color rgb="FF000000"/>
      <name val="Arial"/>
    </font>
    <font>
      <sz val="8"/>
      <color theme="1"/>
      <name val="Calibri"/>
    </font>
    <font>
      <b/>
      <sz val="8"/>
      <color theme="5"/>
      <name val="Calibri"/>
    </font>
    <font>
      <sz val="8"/>
      <color theme="5"/>
      <name val="Calibri"/>
    </font>
    <font>
      <b/>
      <sz val="10"/>
      <color theme="1"/>
      <name val="Arial"/>
    </font>
    <font>
      <b/>
      <sz val="10"/>
      <color theme="0"/>
      <name val="Arial"/>
    </font>
    <font>
      <sz val="10"/>
      <color theme="1"/>
      <name val="Arial"/>
    </font>
    <font>
      <sz val="6"/>
      <color theme="1"/>
      <name val="Calibri"/>
    </font>
    <font>
      <b/>
      <sz val="9"/>
      <color rgb="FF000000"/>
      <name val="Arial"/>
    </font>
    <font>
      <sz val="7"/>
      <color rgb="FF000000"/>
      <name val="Arial"/>
    </font>
    <font>
      <sz val="12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sz val="8"/>
      <color rgb="FF000000"/>
      <name val="Arial"/>
    </font>
    <font>
      <sz val="10"/>
      <color theme="1"/>
      <name val="Calibri"/>
    </font>
    <font>
      <sz val="9"/>
      <color rgb="FF000000"/>
      <name val="Arial"/>
    </font>
    <font>
      <b/>
      <sz val="16"/>
      <color theme="1"/>
      <name val="Arial"/>
    </font>
    <font>
      <sz val="26"/>
      <color theme="0"/>
      <name val="Calibri"/>
    </font>
    <font>
      <sz val="20"/>
      <color theme="1"/>
      <name val="Calibri"/>
    </font>
    <font>
      <b/>
      <sz val="6"/>
      <color theme="1"/>
      <name val="Calibri"/>
    </font>
    <font>
      <b/>
      <sz val="11"/>
      <color theme="1"/>
      <name val="Arial"/>
    </font>
    <font>
      <sz val="12"/>
      <color theme="1"/>
      <name val="Arial"/>
    </font>
    <font>
      <b/>
      <sz val="11"/>
      <color rgb="FF000000"/>
      <name val="Arial"/>
    </font>
    <font>
      <sz val="14"/>
      <color rgb="FF000000"/>
      <name val="Lustria"/>
    </font>
    <font>
      <b/>
      <sz val="14"/>
      <color theme="1"/>
      <name val="Calibri"/>
    </font>
    <font>
      <b/>
      <sz val="14"/>
      <color theme="1"/>
      <name val="Tahoma"/>
    </font>
    <font>
      <b/>
      <sz val="14"/>
      <color theme="0"/>
      <name val="Calibri"/>
    </font>
    <font>
      <b/>
      <sz val="11"/>
      <color theme="0"/>
      <name val="Calibri"/>
    </font>
    <font>
      <sz val="11"/>
      <color theme="0"/>
      <name val="Calibri"/>
    </font>
    <font>
      <sz val="5"/>
      <color theme="1"/>
      <name val="Calibri"/>
    </font>
    <font>
      <sz val="11"/>
      <color theme="1"/>
      <name val="Calibri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002060"/>
        <bgColor rgb="FF00206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F9E8EA"/>
        <bgColor rgb="FFF9E8EA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theme="8"/>
        <bgColor theme="8"/>
      </patternFill>
    </fill>
    <fill>
      <patternFill patternType="solid">
        <fgColor rgb="FFD99594"/>
        <bgColor rgb="FFD99594"/>
      </patternFill>
    </fill>
    <fill>
      <patternFill patternType="solid">
        <fgColor rgb="FFC4BD97"/>
        <bgColor rgb="FFC4BD97"/>
      </patternFill>
    </fill>
    <fill>
      <patternFill patternType="solid">
        <fgColor rgb="FFBFBFBF"/>
        <bgColor rgb="FFBFBFBF"/>
      </patternFill>
    </fill>
    <fill>
      <patternFill patternType="solid">
        <fgColor theme="9" tint="-0.249977111117893"/>
        <bgColor theme="5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9" fontId="2" fillId="0" borderId="12" xfId="0" applyNumberFormat="1" applyFont="1" applyBorder="1"/>
    <xf numFmtId="0" fontId="2" fillId="0" borderId="5" xfId="0" applyFont="1" applyBorder="1"/>
    <xf numFmtId="0" fontId="2" fillId="0" borderId="13" xfId="0" applyFont="1" applyBorder="1"/>
    <xf numFmtId="9" fontId="2" fillId="0" borderId="6" xfId="0" applyNumberFormat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6" xfId="0" applyNumberFormat="1" applyFont="1" applyBorder="1"/>
    <xf numFmtId="49" fontId="1" fillId="0" borderId="19" xfId="0" applyNumberFormat="1" applyFont="1" applyBorder="1" applyAlignment="1">
      <alignment horizontal="center" vertical="top"/>
    </xf>
    <xf numFmtId="0" fontId="2" fillId="2" borderId="23" xfId="0" applyFont="1" applyFill="1" applyBorder="1"/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25" xfId="0" applyFont="1" applyBorder="1" applyAlignment="1">
      <alignment horizontal="center" vertical="center" wrapText="1" readingOrder="1"/>
    </xf>
    <xf numFmtId="0" fontId="6" fillId="3" borderId="26" xfId="0" applyFont="1" applyFill="1" applyBorder="1" applyAlignment="1">
      <alignment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7" fillId="3" borderId="26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8" fillId="3" borderId="26" xfId="0" applyFont="1" applyFill="1" applyBorder="1" applyAlignment="1">
      <alignment vertical="center" textRotation="90" wrapText="1"/>
    </xf>
    <xf numFmtId="0" fontId="9" fillId="3" borderId="28" xfId="0" applyFont="1" applyFill="1" applyBorder="1" applyAlignment="1">
      <alignment horizontal="center" vertical="center" textRotation="90"/>
    </xf>
    <xf numFmtId="0" fontId="10" fillId="4" borderId="28" xfId="0" applyFont="1" applyFill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11" fillId="2" borderId="29" xfId="0" applyFont="1" applyFill="1" applyBorder="1" applyAlignment="1">
      <alignment horizontal="center" vertical="center" wrapText="1" readingOrder="1"/>
    </xf>
    <xf numFmtId="0" fontId="11" fillId="2" borderId="30" xfId="0" applyFont="1" applyFill="1" applyBorder="1" applyAlignment="1">
      <alignment horizontal="center" vertical="center" wrapText="1" readingOrder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28" xfId="0" applyFont="1" applyBorder="1"/>
    <xf numFmtId="0" fontId="13" fillId="2" borderId="34" xfId="0" applyFont="1" applyFill="1" applyBorder="1" applyAlignment="1">
      <alignment horizontal="left" vertical="center" wrapText="1" readingOrder="1"/>
    </xf>
    <xf numFmtId="0" fontId="14" fillId="0" borderId="35" xfId="0" applyFont="1" applyBorder="1" applyAlignment="1">
      <alignment horizontal="left" vertical="center" wrapText="1" readingOrder="1"/>
    </xf>
    <xf numFmtId="0" fontId="2" fillId="2" borderId="36" xfId="0" applyFont="1" applyFill="1" applyBorder="1"/>
    <xf numFmtId="0" fontId="11" fillId="2" borderId="37" xfId="0" applyFont="1" applyFill="1" applyBorder="1" applyAlignment="1">
      <alignment horizontal="center" vertical="center" wrapText="1" readingOrder="1"/>
    </xf>
    <xf numFmtId="0" fontId="15" fillId="0" borderId="38" xfId="0" applyFont="1" applyBorder="1"/>
    <xf numFmtId="0" fontId="13" fillId="2" borderId="39" xfId="0" applyFont="1" applyFill="1" applyBorder="1" applyAlignment="1">
      <alignment horizontal="left" vertical="center" wrapText="1" readingOrder="1"/>
    </xf>
    <xf numFmtId="0" fontId="14" fillId="0" borderId="40" xfId="0" applyFont="1" applyBorder="1" applyAlignment="1">
      <alignment horizontal="left" vertical="center" wrapText="1" readingOrder="1"/>
    </xf>
    <xf numFmtId="0" fontId="16" fillId="2" borderId="29" xfId="0" applyFont="1" applyFill="1" applyBorder="1"/>
    <xf numFmtId="0" fontId="1" fillId="2" borderId="39" xfId="0" applyFont="1" applyFill="1" applyBorder="1" applyAlignment="1">
      <alignment horizontal="center"/>
    </xf>
    <xf numFmtId="49" fontId="2" fillId="2" borderId="39" xfId="0" applyNumberFormat="1" applyFont="1" applyFill="1" applyBorder="1"/>
    <xf numFmtId="0" fontId="2" fillId="2" borderId="39" xfId="0" applyFont="1" applyFill="1" applyBorder="1"/>
    <xf numFmtId="0" fontId="17" fillId="0" borderId="0" xfId="0" applyFont="1"/>
    <xf numFmtId="49" fontId="2" fillId="0" borderId="0" xfId="0" applyNumberFormat="1" applyFont="1" applyAlignment="1">
      <alignment horizontal="center"/>
    </xf>
    <xf numFmtId="9" fontId="2" fillId="0" borderId="0" xfId="0" applyNumberFormat="1" applyFont="1"/>
    <xf numFmtId="49" fontId="2" fillId="2" borderId="23" xfId="0" applyNumberFormat="1" applyFont="1" applyFill="1" applyBorder="1"/>
    <xf numFmtId="0" fontId="18" fillId="0" borderId="41" xfId="0" applyFont="1" applyBorder="1" applyAlignment="1">
      <alignment horizontal="center" vertical="top" wrapText="1" readingOrder="1"/>
    </xf>
    <xf numFmtId="0" fontId="2" fillId="2" borderId="29" xfId="0" applyFont="1" applyFill="1" applyBorder="1"/>
    <xf numFmtId="0" fontId="2" fillId="0" borderId="42" xfId="0" applyFont="1" applyBorder="1"/>
    <xf numFmtId="0" fontId="11" fillId="2" borderId="43" xfId="0" applyFont="1" applyFill="1" applyBorder="1" applyAlignment="1">
      <alignment horizontal="center" vertical="center" wrapText="1" readingOrder="1"/>
    </xf>
    <xf numFmtId="0" fontId="11" fillId="2" borderId="42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/>
    </xf>
    <xf numFmtId="0" fontId="20" fillId="0" borderId="39" xfId="0" applyFont="1" applyBorder="1" applyAlignment="1">
      <alignment horizontal="left" vertical="top" wrapText="1" readingOrder="1"/>
    </xf>
    <xf numFmtId="0" fontId="11" fillId="0" borderId="39" xfId="0" applyFont="1" applyBorder="1"/>
    <xf numFmtId="0" fontId="2" fillId="0" borderId="39" xfId="0" applyFont="1" applyBorder="1"/>
    <xf numFmtId="9" fontId="2" fillId="2" borderId="39" xfId="0" applyNumberFormat="1" applyFont="1" applyFill="1" applyBorder="1"/>
    <xf numFmtId="0" fontId="6" fillId="0" borderId="3" xfId="0" applyFont="1" applyBorder="1" applyAlignment="1">
      <alignment horizontal="center"/>
    </xf>
    <xf numFmtId="0" fontId="21" fillId="0" borderId="39" xfId="0" applyFont="1" applyBorder="1"/>
    <xf numFmtId="9" fontId="11" fillId="0" borderId="39" xfId="0" applyNumberFormat="1" applyFont="1" applyBorder="1"/>
    <xf numFmtId="0" fontId="6" fillId="0" borderId="5" xfId="0" applyFont="1" applyBorder="1" applyAlignment="1">
      <alignment horizontal="center"/>
    </xf>
    <xf numFmtId="0" fontId="1" fillId="0" borderId="39" xfId="0" applyFont="1" applyBorder="1"/>
    <xf numFmtId="0" fontId="6" fillId="0" borderId="39" xfId="0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/>
    </xf>
    <xf numFmtId="0" fontId="23" fillId="0" borderId="28" xfId="0" applyFont="1" applyBorder="1"/>
    <xf numFmtId="0" fontId="23" fillId="0" borderId="28" xfId="0" applyFont="1" applyBorder="1" applyAlignment="1">
      <alignment horizontal="center"/>
    </xf>
    <xf numFmtId="0" fontId="23" fillId="6" borderId="28" xfId="0" applyFont="1" applyFill="1" applyBorder="1"/>
    <xf numFmtId="0" fontId="23" fillId="6" borderId="28" xfId="0" applyFont="1" applyFill="1" applyBorder="1" applyAlignment="1">
      <alignment horizontal="center"/>
    </xf>
    <xf numFmtId="0" fontId="6" fillId="3" borderId="44" xfId="0" applyFont="1" applyFill="1" applyBorder="1" applyAlignment="1">
      <alignment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2" borderId="44" xfId="0" applyFont="1" applyFill="1" applyBorder="1" applyAlignment="1">
      <alignment horizontal="center" vertical="center" textRotation="90" wrapText="1"/>
    </xf>
    <xf numFmtId="0" fontId="3" fillId="7" borderId="44" xfId="0" applyFont="1" applyFill="1" applyBorder="1" applyAlignment="1">
      <alignment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6" fillId="7" borderId="44" xfId="0" applyFont="1" applyFill="1" applyBorder="1" applyAlignment="1">
      <alignment vertical="center" textRotation="90" wrapText="1"/>
    </xf>
    <xf numFmtId="0" fontId="11" fillId="2" borderId="36" xfId="0" applyFont="1" applyFill="1" applyBorder="1" applyAlignment="1">
      <alignment horizontal="center" vertical="center" wrapText="1" readingOrder="1"/>
    </xf>
    <xf numFmtId="0" fontId="11" fillId="2" borderId="36" xfId="0" applyFont="1" applyFill="1" applyBorder="1" applyAlignment="1">
      <alignment horizontal="left" vertical="center" wrapText="1" readingOrder="1"/>
    </xf>
    <xf numFmtId="0" fontId="24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3" fillId="2" borderId="29" xfId="0" applyFont="1" applyFill="1" applyBorder="1" applyAlignment="1">
      <alignment horizontal="left" vertical="center" wrapText="1" readingOrder="1"/>
    </xf>
    <xf numFmtId="0" fontId="26" fillId="2" borderId="29" xfId="0" applyFont="1" applyFill="1" applyBorder="1" applyAlignment="1">
      <alignment horizontal="center" vertical="center" wrapText="1" readingOrder="1"/>
    </xf>
    <xf numFmtId="0" fontId="26" fillId="2" borderId="29" xfId="0" applyFont="1" applyFill="1" applyBorder="1" applyAlignment="1">
      <alignment horizontal="left" vertical="center" wrapText="1" readingOrder="1"/>
    </xf>
    <xf numFmtId="0" fontId="27" fillId="0" borderId="29" xfId="0" applyFont="1" applyBorder="1" applyAlignment="1">
      <alignment horizontal="center" vertical="center" wrapText="1" readingOrder="1"/>
    </xf>
    <xf numFmtId="0" fontId="15" fillId="0" borderId="47" xfId="0" applyFont="1" applyBorder="1"/>
    <xf numFmtId="0" fontId="1" fillId="0" borderId="39" xfId="0" applyFont="1" applyBorder="1" applyAlignment="1">
      <alignment horizontal="center"/>
    </xf>
    <xf numFmtId="0" fontId="28" fillId="8" borderId="48" xfId="0" applyFont="1" applyFill="1" applyBorder="1" applyAlignment="1">
      <alignment horizontal="center" wrapText="1" readingOrder="1"/>
    </xf>
    <xf numFmtId="49" fontId="2" fillId="0" borderId="39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39" xfId="0" applyNumberFormat="1" applyFont="1" applyBorder="1" applyAlignment="1">
      <alignment horizontal="center"/>
    </xf>
    <xf numFmtId="0" fontId="28" fillId="8" borderId="48" xfId="0" applyFont="1" applyFill="1" applyBorder="1" applyAlignment="1">
      <alignment horizontal="left" wrapText="1" readingOrder="1"/>
    </xf>
    <xf numFmtId="0" fontId="28" fillId="8" borderId="48" xfId="0" applyFont="1" applyFill="1" applyBorder="1" applyAlignment="1">
      <alignment horizontal="right" wrapText="1" readingOrder="1"/>
    </xf>
    <xf numFmtId="9" fontId="28" fillId="8" borderId="48" xfId="0" applyNumberFormat="1" applyFont="1" applyFill="1" applyBorder="1" applyAlignment="1">
      <alignment horizontal="right" wrapText="1" readingOrder="1"/>
    </xf>
    <xf numFmtId="0" fontId="18" fillId="0" borderId="49" xfId="0" applyFont="1" applyBorder="1" applyAlignment="1">
      <alignment horizontal="center" vertical="top" wrapText="1" readingOrder="1"/>
    </xf>
    <xf numFmtId="49" fontId="29" fillId="0" borderId="0" xfId="0" applyNumberFormat="1" applyFont="1" applyAlignment="1">
      <alignment horizontal="center"/>
    </xf>
    <xf numFmtId="9" fontId="2" fillId="0" borderId="39" xfId="0" applyNumberFormat="1" applyFont="1" applyBorder="1"/>
    <xf numFmtId="0" fontId="14" fillId="0" borderId="29" xfId="0" applyFont="1" applyBorder="1" applyAlignment="1">
      <alignment horizontal="left" vertical="center" wrapText="1" readingOrder="1"/>
    </xf>
    <xf numFmtId="0" fontId="2" fillId="0" borderId="29" xfId="0" applyFont="1" applyBorder="1"/>
    <xf numFmtId="0" fontId="13" fillId="2" borderId="42" xfId="0" applyFont="1" applyFill="1" applyBorder="1" applyAlignment="1">
      <alignment horizontal="left" vertical="center" wrapText="1" readingOrder="1"/>
    </xf>
    <xf numFmtId="0" fontId="2" fillId="0" borderId="42" xfId="0" applyFont="1" applyBorder="1" applyAlignment="1">
      <alignment horizontal="left"/>
    </xf>
    <xf numFmtId="0" fontId="27" fillId="0" borderId="42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left" vertical="top" wrapText="1" readingOrder="1"/>
    </xf>
    <xf numFmtId="0" fontId="2" fillId="2" borderId="44" xfId="0" applyFont="1" applyFill="1" applyBorder="1"/>
    <xf numFmtId="0" fontId="29" fillId="2" borderId="50" xfId="0" applyFont="1" applyFill="1" applyBorder="1" applyAlignment="1">
      <alignment horizontal="center"/>
    </xf>
    <xf numFmtId="0" fontId="2" fillId="2" borderId="51" xfId="0" applyFont="1" applyFill="1" applyBorder="1"/>
    <xf numFmtId="0" fontId="30" fillId="0" borderId="0" xfId="0" applyFont="1"/>
    <xf numFmtId="0" fontId="1" fillId="2" borderId="55" xfId="0" applyFont="1" applyFill="1" applyBorder="1" applyAlignment="1">
      <alignment horizontal="left"/>
    </xf>
    <xf numFmtId="0" fontId="2" fillId="2" borderId="56" xfId="0" applyFont="1" applyFill="1" applyBorder="1" applyAlignment="1">
      <alignment horizontal="center"/>
    </xf>
    <xf numFmtId="0" fontId="1" fillId="2" borderId="55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0" xfId="0" applyFont="1" applyFill="1" applyBorder="1"/>
    <xf numFmtId="0" fontId="31" fillId="9" borderId="28" xfId="0" applyFont="1" applyFill="1" applyBorder="1" applyAlignment="1">
      <alignment horizontal="center"/>
    </xf>
    <xf numFmtId="164" fontId="2" fillId="3" borderId="36" xfId="0" applyNumberFormat="1" applyFont="1" applyFill="1" applyBorder="1" applyAlignment="1">
      <alignment horizontal="center" vertical="center"/>
    </xf>
    <xf numFmtId="164" fontId="2" fillId="10" borderId="36" xfId="0" applyNumberFormat="1" applyFont="1" applyFill="1" applyBorder="1" applyAlignment="1">
      <alignment horizontal="center" vertical="center"/>
    </xf>
    <xf numFmtId="0" fontId="29" fillId="0" borderId="0" xfId="0" applyFont="1"/>
    <xf numFmtId="164" fontId="2" fillId="11" borderId="36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2" fillId="13" borderId="36" xfId="0" applyNumberFormat="1" applyFont="1" applyFill="1" applyBorder="1" applyAlignment="1">
      <alignment horizontal="center" vertical="center"/>
    </xf>
    <xf numFmtId="164" fontId="2" fillId="14" borderId="36" xfId="0" applyNumberFormat="1" applyFont="1" applyFill="1" applyBorder="1" applyAlignment="1">
      <alignment horizontal="center" vertical="center"/>
    </xf>
    <xf numFmtId="0" fontId="32" fillId="2" borderId="64" xfId="0" applyFont="1" applyFill="1" applyBorder="1"/>
    <xf numFmtId="0" fontId="33" fillId="2" borderId="65" xfId="0" applyFont="1" applyFill="1" applyBorder="1"/>
    <xf numFmtId="0" fontId="29" fillId="2" borderId="28" xfId="0" applyFont="1" applyFill="1" applyBorder="1" applyAlignment="1">
      <alignment horizontal="center"/>
    </xf>
    <xf numFmtId="0" fontId="3" fillId="0" borderId="25" xfId="0" applyFont="1" applyBorder="1" applyAlignment="1">
      <alignment vertical="top"/>
    </xf>
    <xf numFmtId="0" fontId="5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left" vertical="top" wrapText="1" readingOrder="1"/>
    </xf>
    <xf numFmtId="0" fontId="20" fillId="0" borderId="39" xfId="0" applyFont="1" applyBorder="1" applyAlignment="1">
      <alignment horizontal="right" vertical="top" wrapText="1" readingOrder="1"/>
    </xf>
    <xf numFmtId="0" fontId="20" fillId="0" borderId="28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center" vertical="top" wrapText="1" readingOrder="1"/>
    </xf>
    <xf numFmtId="0" fontId="13" fillId="0" borderId="72" xfId="0" applyFont="1" applyBorder="1" applyAlignment="1">
      <alignment horizontal="center" vertical="top" wrapText="1" readingOrder="1"/>
    </xf>
    <xf numFmtId="0" fontId="12" fillId="0" borderId="73" xfId="0" applyFont="1" applyBorder="1"/>
    <xf numFmtId="0" fontId="20" fillId="0" borderId="33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top" wrapText="1" readingOrder="1"/>
    </xf>
    <xf numFmtId="0" fontId="13" fillId="0" borderId="75" xfId="0" applyFont="1" applyBorder="1" applyAlignment="1">
      <alignment horizontal="center" vertical="top" wrapText="1" readingOrder="1"/>
    </xf>
    <xf numFmtId="0" fontId="13" fillId="0" borderId="76" xfId="0" applyFont="1" applyBorder="1" applyAlignment="1">
      <alignment horizontal="center" vertical="top" wrapText="1" readingOrder="1"/>
    </xf>
    <xf numFmtId="0" fontId="13" fillId="0" borderId="77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vertical="top" wrapText="1" readingOrder="1"/>
    </xf>
    <xf numFmtId="49" fontId="6" fillId="2" borderId="55" xfId="0" applyNumberFormat="1" applyFont="1" applyFill="1" applyBorder="1" applyAlignment="1">
      <alignment horizontal="center" vertical="top"/>
    </xf>
    <xf numFmtId="0" fontId="12" fillId="0" borderId="27" xfId="0" applyFont="1" applyBorder="1"/>
    <xf numFmtId="0" fontId="34" fillId="0" borderId="24" xfId="0" applyFont="1" applyBorder="1"/>
    <xf numFmtId="0" fontId="2" fillId="0" borderId="22" xfId="0" applyFont="1" applyBorder="1"/>
    <xf numFmtId="0" fontId="2" fillId="0" borderId="78" xfId="0" applyFont="1" applyBorder="1"/>
    <xf numFmtId="9" fontId="12" fillId="0" borderId="14" xfId="0" applyNumberFormat="1" applyFont="1" applyBorder="1" applyAlignment="1">
      <alignment textRotation="90"/>
    </xf>
    <xf numFmtId="0" fontId="13" fillId="0" borderId="39" xfId="0" applyFont="1" applyBorder="1" applyAlignment="1">
      <alignment horizontal="left" vertical="center" wrapText="1" readingOrder="1"/>
    </xf>
    <xf numFmtId="0" fontId="14" fillId="0" borderId="79" xfId="0" applyFont="1" applyBorder="1" applyAlignment="1">
      <alignment horizontal="center" vertical="center" wrapText="1" readingOrder="1"/>
    </xf>
    <xf numFmtId="0" fontId="12" fillId="0" borderId="36" xfId="0" applyFont="1" applyBorder="1" applyAlignment="1">
      <alignment horizontal="center" vertical="center"/>
    </xf>
    <xf numFmtId="0" fontId="15" fillId="0" borderId="73" xfId="0" applyFont="1" applyBorder="1"/>
    <xf numFmtId="0" fontId="14" fillId="0" borderId="80" xfId="0" applyFont="1" applyBorder="1" applyAlignment="1">
      <alignment horizontal="center" vertical="center" wrapText="1" readingOrder="1"/>
    </xf>
    <xf numFmtId="0" fontId="26" fillId="2" borderId="4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8" fillId="2" borderId="29" xfId="0" applyFont="1" applyFill="1" applyBorder="1" applyAlignment="1">
      <alignment horizontal="left" vertical="center" wrapText="1" readingOrder="1"/>
    </xf>
    <xf numFmtId="0" fontId="18" fillId="0" borderId="29" xfId="0" applyFont="1" applyBorder="1" applyAlignment="1">
      <alignment horizontal="left" vertical="center" wrapText="1" readingOrder="1"/>
    </xf>
    <xf numFmtId="0" fontId="18" fillId="0" borderId="29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57" xfId="0" applyFont="1" applyFill="1" applyBorder="1"/>
    <xf numFmtId="0" fontId="3" fillId="0" borderId="17" xfId="0" applyFont="1" applyBorder="1" applyAlignment="1">
      <alignment vertical="top"/>
    </xf>
    <xf numFmtId="0" fontId="4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3" fillId="0" borderId="22" xfId="0" applyFont="1" applyBorder="1" applyAlignment="1">
      <alignment horizontal="center" vertical="center" textRotation="90" shrinkToFit="1"/>
    </xf>
    <xf numFmtId="0" fontId="4" fillId="0" borderId="27" xfId="0" applyFont="1" applyBorder="1"/>
    <xf numFmtId="0" fontId="4" fillId="0" borderId="33" xfId="0" applyFont="1" applyBorder="1"/>
    <xf numFmtId="0" fontId="6" fillId="7" borderId="61" xfId="0" applyFont="1" applyFill="1" applyBorder="1" applyAlignment="1">
      <alignment horizontal="center" vertical="center" wrapText="1"/>
    </xf>
    <xf numFmtId="0" fontId="4" fillId="0" borderId="62" xfId="0" applyFont="1" applyBorder="1"/>
    <xf numFmtId="0" fontId="6" fillId="12" borderId="61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13" borderId="61" xfId="0" applyFont="1" applyFill="1" applyBorder="1" applyAlignment="1">
      <alignment horizontal="center" vertical="center" wrapText="1"/>
    </xf>
    <xf numFmtId="0" fontId="6" fillId="14" borderId="6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4" fillId="0" borderId="63" xfId="0" applyFont="1" applyBorder="1"/>
    <xf numFmtId="0" fontId="6" fillId="10" borderId="17" xfId="0" applyFont="1" applyFill="1" applyBorder="1" applyAlignment="1">
      <alignment horizontal="center" vertical="center" wrapText="1"/>
    </xf>
    <xf numFmtId="0" fontId="6" fillId="10" borderId="6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11" borderId="61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0" fontId="35" fillId="2" borderId="5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left"/>
    </xf>
    <xf numFmtId="0" fontId="31" fillId="9" borderId="14" xfId="0" applyFont="1" applyFill="1" applyBorder="1" applyAlignment="1">
      <alignment horizontal="center"/>
    </xf>
    <xf numFmtId="0" fontId="4" fillId="0" borderId="16" xfId="0" applyFont="1" applyBorder="1"/>
    <xf numFmtId="0" fontId="3" fillId="0" borderId="46" xfId="0" applyFont="1" applyBorder="1" applyAlignment="1">
      <alignment horizontal="center" vertical="center"/>
    </xf>
    <xf numFmtId="0" fontId="4" fillId="0" borderId="66" xfId="0" applyFont="1" applyBorder="1"/>
    <xf numFmtId="0" fontId="4" fillId="0" borderId="67" xfId="0" applyFont="1" applyBorder="1"/>
    <xf numFmtId="0" fontId="4" fillId="0" borderId="35" xfId="0" applyFont="1" applyBorder="1"/>
    <xf numFmtId="0" fontId="4" fillId="0" borderId="47" xfId="0" applyFont="1" applyBorder="1"/>
    <xf numFmtId="0" fontId="4" fillId="0" borderId="69" xfId="0" applyFont="1" applyBorder="1"/>
    <xf numFmtId="0" fontId="3" fillId="0" borderId="32" xfId="0" applyFont="1" applyBorder="1" applyAlignment="1">
      <alignment vertical="top"/>
    </xf>
    <xf numFmtId="0" fontId="4" fillId="0" borderId="68" xfId="0" applyFont="1" applyBorder="1"/>
    <xf numFmtId="0" fontId="3" fillId="0" borderId="24" xfId="0" applyFont="1" applyBorder="1" applyAlignment="1">
      <alignment horizontal="center" vertical="center"/>
    </xf>
    <xf numFmtId="0" fontId="4" fillId="0" borderId="70" xfId="0" applyFont="1" applyBorder="1"/>
    <xf numFmtId="0" fontId="3" fillId="0" borderId="22" xfId="0" applyFont="1" applyBorder="1" applyAlignment="1">
      <alignment horizontal="center" vertical="center"/>
    </xf>
    <xf numFmtId="0" fontId="10" fillId="15" borderId="28" xfId="0" applyFont="1" applyFill="1" applyBorder="1" applyAlignment="1">
      <alignment horizontal="center" vertical="center" textRotation="90"/>
    </xf>
    <xf numFmtId="0" fontId="35" fillId="2" borderId="23" xfId="0" applyFont="1" applyFill="1" applyBorder="1"/>
    <xf numFmtId="0" fontId="36" fillId="2" borderId="29" xfId="0" applyFont="1" applyFill="1" applyBorder="1" applyAlignment="1">
      <alignment horizontal="left" vertical="center" wrapText="1" readingOrder="1"/>
    </xf>
    <xf numFmtId="0" fontId="36" fillId="0" borderId="29" xfId="0" applyFont="1" applyBorder="1" applyAlignment="1">
      <alignment horizontal="left"/>
    </xf>
  </cellXfs>
  <cellStyles count="1">
    <cellStyle name="Normal" xfId="0" builtinId="0"/>
  </cellStyles>
  <dxfs count="29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s-CO" sz="1800" b="1" i="0">
                <a:solidFill>
                  <a:srgbClr val="000000"/>
                </a:solidFill>
                <a:latin typeface="Calibri"/>
              </a:rPr>
              <a:t>Materias Vs Estudiantes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1"/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2-4DAD-B0C4-077090A5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13262"/>
        <c:axId val="335378110"/>
      </c:barChart>
      <c:catAx>
        <c:axId val="2288132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2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35378110"/>
        <c:crosses val="autoZero"/>
        <c:auto val="1"/>
        <c:lblAlgn val="ctr"/>
        <c:lblOffset val="100"/>
        <c:noMultiLvlLbl val="1"/>
      </c:catAx>
      <c:valAx>
        <c:axId val="335378110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22881326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layout>
        <c:manualLayout>
          <c:xMode val="edge"/>
          <c:yMode val="edge"/>
          <c:x val="0.1792567804024497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'Informe Final 1 periodo'!$AJ$7:$AJ$15</c:f>
              <c:numCache>
                <c:formatCode>General</c:formatCode>
                <c:ptCount val="9"/>
                <c:pt idx="0">
                  <c:v>12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'Informe Final 1 periodo'!$AI$7:$AI$15</c15:sqref>
                        </c15:formulaRef>
                      </c:ext>
                    </c:extLst>
                    <c:strCach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752-4F1B-83C7-33D92BA86C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88329680"/>
        <c:axId val="688325840"/>
        <c:axId val="0"/>
      </c:bar3DChart>
      <c:catAx>
        <c:axId val="6883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325840"/>
        <c:crosses val="autoZero"/>
        <c:auto val="1"/>
        <c:lblAlgn val="ctr"/>
        <c:lblOffset val="100"/>
        <c:noMultiLvlLbl val="0"/>
      </c:catAx>
      <c:valAx>
        <c:axId val="6883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3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baseline="0" dirty="0">
                <a:solidFill>
                  <a:srgbClr val="000000">
                    <a:lumMod val="75000"/>
                    <a:lumOff val="25000"/>
                  </a:srgbClr>
                </a:solidFill>
              </a:rPr>
              <a:t>Cantidad de estudiantes con logros pendientes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periodo'!$AJ$7:$AJ$15</c:f>
              <c:numCache>
                <c:formatCode>General</c:formatCode>
                <c:ptCount val="9"/>
                <c:pt idx="0">
                  <c:v>12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2-42CF-A8D4-D5665146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9596415"/>
        <c:axId val="1329531615"/>
        <c:axId val="0"/>
      </c:bar3DChart>
      <c:catAx>
        <c:axId val="132959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9531615"/>
        <c:crosses val="autoZero"/>
        <c:auto val="1"/>
        <c:lblAlgn val="ctr"/>
        <c:lblOffset val="100"/>
        <c:noMultiLvlLbl val="0"/>
      </c:catAx>
      <c:valAx>
        <c:axId val="132953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959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Por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plosion val="6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EA-49A4-9C83-4ACB0903AF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EA-49A4-9C83-4ACB0903AF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DEA-49A4-9C83-4ACB0903AF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DEA-49A4-9C83-4ACB0903AF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DEA-49A4-9C83-4ACB0903AF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DEA-49A4-9C83-4ACB0903AF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DEA-49A4-9C83-4ACB0903AF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DEA-49A4-9C83-4ACB0903AF0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DEA-49A4-9C83-4ACB0903AF0E}"/>
              </c:ext>
            </c:extLst>
          </c:dPt>
          <c:dLbls>
            <c:dLbl>
              <c:idx val="0"/>
              <c:layout>
                <c:manualLayout>
                  <c:x val="7.1529521050556155E-2"/>
                  <c:y val="-1.0524976539264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A-49A4-9C83-4ACB0903AF0E}"/>
                </c:ext>
              </c:extLst>
            </c:dLbl>
            <c:dLbl>
              <c:idx val="1"/>
              <c:layout>
                <c:manualLayout>
                  <c:x val="-0.20218228932103699"/>
                  <c:y val="-7.184893099699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EA-49A4-9C83-4ACB0903AF0E}"/>
                </c:ext>
              </c:extLst>
            </c:dLbl>
            <c:dLbl>
              <c:idx val="4"/>
              <c:layout>
                <c:manualLayout>
                  <c:x val="-7.4884332985757501E-2"/>
                  <c:y val="-0.11515141474015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EA-49A4-9C83-4ACB0903AF0E}"/>
                </c:ext>
              </c:extLst>
            </c:dLbl>
            <c:dLbl>
              <c:idx val="5"/>
              <c:layout>
                <c:manualLayout>
                  <c:x val="-2.8251403779360643E-2"/>
                  <c:y val="-0.100071835801738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EA-49A4-9C83-4ACB0903A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periodo'!$AK$7:$AK$15</c:f>
              <c:numCache>
                <c:formatCode>0%</c:formatCode>
                <c:ptCount val="9"/>
                <c:pt idx="0">
                  <c:v>0.38709677419354838</c:v>
                </c:pt>
                <c:pt idx="1">
                  <c:v>0.32258064516129031</c:v>
                </c:pt>
                <c:pt idx="2">
                  <c:v>9.6774193548387094E-2</c:v>
                </c:pt>
                <c:pt idx="3">
                  <c:v>3.2258064516129031E-2</c:v>
                </c:pt>
                <c:pt idx="4">
                  <c:v>3.2258064516129031E-2</c:v>
                </c:pt>
                <c:pt idx="5">
                  <c:v>6.4516129032258063E-2</c:v>
                </c:pt>
                <c:pt idx="6">
                  <c:v>0</c:v>
                </c:pt>
                <c:pt idx="7">
                  <c:v>6.4516129032258063E-2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EA-49A4-9C83-4ACB0903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layout>
        <c:manualLayout>
          <c:xMode val="edge"/>
          <c:yMode val="edge"/>
          <c:x val="0.1792567804024497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'Informe Final 1 periodo'!$AJ$7:$AJ$15</c:f>
              <c:numCache>
                <c:formatCode>General</c:formatCode>
                <c:ptCount val="9"/>
                <c:pt idx="0">
                  <c:v>12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'Informe Final 1 periodo'!$AI$7:$AI$15</c15:sqref>
                        </c15:formulaRef>
                      </c:ext>
                    </c:extLst>
                    <c:strCach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FFF-493E-B440-E34A2DD4E0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8329680"/>
        <c:axId val="688325840"/>
        <c:axId val="0"/>
      </c:bar3DChart>
      <c:catAx>
        <c:axId val="68832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325840"/>
        <c:crosses val="autoZero"/>
        <c:auto val="1"/>
        <c:lblAlgn val="ctr"/>
        <c:lblOffset val="100"/>
        <c:noMultiLvlLbl val="0"/>
      </c:catAx>
      <c:valAx>
        <c:axId val="6883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3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D98-4AB6-9A96-4E1E3BC65FB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D98-4AB6-9A96-4E1E3BC65FB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D98-4AB6-9A96-4E1E3BC65FB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D98-4AB6-9A96-4E1E3BC65FB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D98-4AB6-9A96-4E1E3BC65FB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D98-4AB6-9A96-4E1E3BC65FB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D98-4AB6-9A96-4E1E3BC65FB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D98-4AB6-9A96-4E1E3BC65FB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D98-4AB6-9A96-4E1E3BC65FB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D98-4AB6-9A96-4E1E3BC65FB6}"/>
              </c:ext>
            </c:extLst>
          </c:dPt>
          <c:dLbls>
            <c:dLbl>
              <c:idx val="8"/>
              <c:layout>
                <c:manualLayout>
                  <c:x val="0.1"/>
                  <c:y val="-9.72222222222222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98-4AB6-9A96-4E1E3BC65FB6}"/>
                </c:ext>
              </c:extLst>
            </c:dLbl>
            <c:dLbl>
              <c:idx val="9"/>
              <c:layout>
                <c:manualLayout>
                  <c:x val="-0.12222222222222227"/>
                  <c:y val="-4.52245552639253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98-4AB6-9A96-4E1E3BC65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periodo'!$AK$7:$AK$15</c:f>
              <c:numCache>
                <c:formatCode>0%</c:formatCode>
                <c:ptCount val="9"/>
                <c:pt idx="0">
                  <c:v>0.38709677419354838</c:v>
                </c:pt>
                <c:pt idx="1">
                  <c:v>0.32258064516129031</c:v>
                </c:pt>
                <c:pt idx="2">
                  <c:v>9.6774193548387094E-2</c:v>
                </c:pt>
                <c:pt idx="3">
                  <c:v>3.2258064516129031E-2</c:v>
                </c:pt>
                <c:pt idx="4">
                  <c:v>3.2258064516129031E-2</c:v>
                </c:pt>
                <c:pt idx="5">
                  <c:v>6.4516129032258063E-2</c:v>
                </c:pt>
                <c:pt idx="6">
                  <c:v>0</c:v>
                </c:pt>
                <c:pt idx="7">
                  <c:v>6.4516129032258063E-2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98-4AB6-9A96-4E1E3BC65F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127141587616513E-2"/>
          <c:y val="0.10433187319161896"/>
          <c:w val="0.90649637299274599"/>
          <c:h val="0.73709745326202825"/>
        </c:manualLayout>
      </c:layout>
      <c:pie3DChart>
        <c:varyColors val="1"/>
        <c:ser>
          <c:idx val="0"/>
          <c:order val="0"/>
          <c:tx>
            <c:strRef>
              <c:f>'Informe Final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22-4A99-9020-8AFF98CDEF1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22-4A99-9020-8AFF98CDEF19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022-4A99-9020-8AFF98CDE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periodo'!$AO$7:$AO$8</c:f>
              <c:strCache>
                <c:ptCount val="2"/>
                <c:pt idx="0">
                  <c:v>No tienen logros pendientes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Final 1 periodo'!$AQ$7:$AQ$8</c:f>
              <c:numCache>
                <c:formatCode>0%</c:formatCode>
                <c:ptCount val="2"/>
                <c:pt idx="0">
                  <c:v>0.38709677419354838</c:v>
                </c:pt>
                <c:pt idx="1">
                  <c:v>0.61290322580645162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2-4A99-9020-8AFF98CDE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FA30-4940-A102-CABB3053BF2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FA30-4940-A102-CABB3053BF2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A30-4940-A102-CABB3053BF2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FA30-4940-A102-CABB3053BF2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0.375</c:v>
                </c:pt>
                <c:pt idx="3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30-4940-A102-CABB3053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>
            <a:defRPr sz="12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accent3"/>
                </a:solidFill>
                <a:latin typeface="+mn-lt"/>
              </a:defRPr>
            </a:pPr>
            <a:r>
              <a:rPr sz="1800" b="1" i="0">
                <a:solidFill>
                  <a:schemeClr val="accent3"/>
                </a:solidFill>
                <a:latin typeface="+mn-lt"/>
              </a:rPr>
              <a:t>Cantidad de Estudiantes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Cantidad</c:v>
          </c:tx>
          <c:spPr>
            <a:solidFill>
              <a:srgbClr val="92D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4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86A-463D-A0AE-1F1034F0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94037"/>
        <c:axId val="309605825"/>
      </c:barChart>
      <c:catAx>
        <c:axId val="2160940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9605825"/>
        <c:crosses val="autoZero"/>
        <c:auto val="1"/>
        <c:lblAlgn val="ctr"/>
        <c:lblOffset val="100"/>
        <c:noMultiLvlLbl val="1"/>
      </c:catAx>
      <c:valAx>
        <c:axId val="309605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60940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333333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D5E-4322-8E34-05B66C73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78873"/>
        <c:axId val="1546428464"/>
      </c:barChart>
      <c:catAx>
        <c:axId val="6256788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546428464"/>
        <c:crosses val="autoZero"/>
        <c:auto val="1"/>
        <c:lblAlgn val="ctr"/>
        <c:lblOffset val="100"/>
        <c:noMultiLvlLbl val="1"/>
      </c:catAx>
      <c:valAx>
        <c:axId val="15464284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62567887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Areas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DD5-482C-9DBF-DAAE3C03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406754"/>
        <c:axId val="1983610248"/>
      </c:barChart>
      <c:catAx>
        <c:axId val="16814067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983610248"/>
        <c:crosses val="autoZero"/>
        <c:auto val="1"/>
        <c:lblAlgn val="ctr"/>
        <c:lblOffset val="100"/>
        <c:noMultiLvlLbl val="1"/>
      </c:catAx>
      <c:valAx>
        <c:axId val="19836102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681406754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s-CO" sz="1800" b="1" i="0">
                <a:solidFill>
                  <a:srgbClr val="000000"/>
                </a:solidFill>
                <a:latin typeface="Calibri"/>
              </a:rPr>
              <a:t>Aprobados y Reprobados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C82C-41AE-96CD-FB94A62C136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C82C-41AE-96CD-FB94A62C1361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800" b="0" i="0">
                      <a:solidFill>
                        <a:srgbClr val="FF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2C-41AE-96CD-FB94A62C136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800" b="0" i="0">
                      <a:solidFill>
                        <a:srgbClr val="FF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2C-41AE-96CD-FB94A62C13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C-41AE-96CD-FB94A62C1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6985503306110634"/>
          <c:y val="0.49406225646972274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materia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# Estudiantes</c:v>
          </c:tx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C1D-419A-99CE-E9044654F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287"/>
        <c:axId val="1510149431"/>
      </c:barChart>
      <c:catAx>
        <c:axId val="2768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510149431"/>
        <c:crosses val="autoZero"/>
        <c:auto val="1"/>
        <c:lblAlgn val="ctr"/>
        <c:lblOffset val="100"/>
        <c:noMultiLvlLbl val="1"/>
      </c:catAx>
      <c:valAx>
        <c:axId val="15101494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768287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FF0000"/>
                </a:solidFill>
                <a:latin typeface="Tahoma"/>
              </a:defRPr>
            </a:pPr>
            <a:r>
              <a:rPr sz="1400" b="1" i="0">
                <a:solidFill>
                  <a:srgbClr val="FF0000"/>
                </a:solidFill>
                <a:latin typeface="Tahoma"/>
              </a:rPr>
              <a:t>% Por #ro de áreas Con logros pendientes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D9E-486F-A538-6A8663EE027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8D9E-486F-A538-6A8663EE027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8D9E-486F-A538-6A8663EE027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8D9E-486F-A538-6A8663EE027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8D9E-486F-A538-6A8663EE0272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8D9E-486F-A538-6A8663EE0272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8D9E-486F-A538-6A8663EE0272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8D9E-486F-A538-6A8663EE0272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8D9E-486F-A538-6A8663EE0272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3-8D9E-486F-A538-6A8663EE027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9E-486F-A538-6A8663EE0272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D9E-486F-A538-6A8663EE0272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D9E-486F-A538-6A8663EE0272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D9E-486F-A538-6A8663EE0272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D9E-486F-A538-6A8663EE0272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D9E-486F-A538-6A8663EE0272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D9E-486F-A538-6A8663EE0272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 lvl="0">
                    <a:defRPr sz="900" b="0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D9E-486F-A538-6A8663EE02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9E-486F-A538-6A8663EE0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>
            <a:defRPr sz="1300" b="0" i="0">
              <a:solidFill>
                <a:srgbClr val="333333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sz="1400" b="0" i="0">
                <a:solidFill>
                  <a:srgbClr val="333333"/>
                </a:solidFill>
                <a:latin typeface="Calibri"/>
              </a:rPr>
              <a:t>Areas con logros pendientes por Estudiante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333333"/>
                    </a:solidFill>
                    <a:latin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7A-4F91-9634-3D35F711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275927"/>
        <c:axId val="876585377"/>
      </c:barChart>
      <c:catAx>
        <c:axId val="1787275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876585377"/>
        <c:crosses val="autoZero"/>
        <c:auto val="1"/>
        <c:lblAlgn val="ctr"/>
        <c:lblOffset val="100"/>
        <c:noMultiLvlLbl val="1"/>
      </c:catAx>
      <c:valAx>
        <c:axId val="8765853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78727592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7B94-45E2-B820-B127795ED31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94-45E2-B820-B127795ED313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400" b="1" i="0">
                      <a:solidFill>
                        <a:srgbClr val="333333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B94-45E2-B820-B127795ED313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400" b="1" i="0">
                      <a:solidFill>
                        <a:srgbClr val="FFFFFF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B94-45E2-B820-B127795ED3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4-45E2-B820-B127795E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1"/>
        <c:ser>
          <c:idx val="0"/>
          <c:order val="0"/>
          <c:tx>
            <c:v>#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solidFill>
                      <a:srgbClr val="FFFFFF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7C2-45AB-B02B-C3A8D208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17612"/>
        <c:axId val="347868595"/>
      </c:barChart>
      <c:catAx>
        <c:axId val="31717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47868595"/>
        <c:crosses val="autoZero"/>
        <c:auto val="1"/>
        <c:lblAlgn val="ctr"/>
        <c:lblOffset val="100"/>
        <c:noMultiLvlLbl val="1"/>
      </c:catAx>
      <c:valAx>
        <c:axId val="3478685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7176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4B0-4D6C-B59C-B221E7C63CB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4B0-4D6C-B59C-B221E7C63C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FFFFFF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4B0-4D6C-B59C-B221E7C63C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B0-4D6C-B59C-B221E7C6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9F47-4B31-9EF1-BEC3450BC88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F47-4B31-9EF1-BEC3450BC8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7-4B31-9EF1-BEC3450B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s-ES" sz="1800" b="1" i="0">
                <a:solidFill>
                  <a:srgbClr val="000000"/>
                </a:solidFill>
                <a:latin typeface="Calibri"/>
              </a:rPr>
              <a:t>% Aprobados y Reprobados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A4F6-4A89-A2E0-6D04ED30ED9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A4F6-4A89-A2E0-6D04ED30ED9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4F6-4A89-A2E0-6D04ED30ED9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2000" b="0" i="0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F6-4A89-A2E0-6D04ED30ED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6-4A89-A2E0-6D04ED30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90044300018052"/>
          <c:y val="0.43640442970944415"/>
        </c:manualLayout>
      </c:layout>
      <c:overlay val="0"/>
      <c:txPr>
        <a:bodyPr/>
        <a:lstStyle/>
        <a:p>
          <a:pPr lvl="0">
            <a:defRPr sz="20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# de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60-4652-B8EF-30F8B416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885394"/>
        <c:axId val="811698049"/>
      </c:barChart>
      <c:catAx>
        <c:axId val="17718853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1698049"/>
        <c:crosses val="autoZero"/>
        <c:auto val="1"/>
        <c:lblAlgn val="ctr"/>
        <c:lblOffset val="100"/>
        <c:noMultiLvlLbl val="1"/>
      </c:catAx>
      <c:valAx>
        <c:axId val="8116980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188539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sz="1600" b="1" i="0">
                <a:solidFill>
                  <a:schemeClr val="lt1"/>
                </a:solidFill>
                <a:latin typeface="+mn-lt"/>
              </a:rPr>
              <a:t>Cantidad de estudiantes con logros pendientes por materia</a:t>
            </a: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# DE ESTUDIANTES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32-41BE-8CCE-2FD6A34C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847729"/>
        <c:axId val="347504604"/>
      </c:barChart>
      <c:catAx>
        <c:axId val="226847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347504604"/>
        <c:crosses val="autoZero"/>
        <c:auto val="1"/>
        <c:lblAlgn val="ctr"/>
        <c:lblOffset val="100"/>
        <c:noMultiLvlLbl val="1"/>
      </c:catAx>
      <c:valAx>
        <c:axId val="3475046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26847729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'Informe Final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D7-439C-8B20-2BD08D618B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D7-439C-8B20-2BD08D618BE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'Informe Final 1 periodo'!$AQ$7:$AQ$8</c:f>
              <c:numCache>
                <c:formatCode>0%</c:formatCode>
                <c:ptCount val="2"/>
                <c:pt idx="0">
                  <c:v>0.38709677419354838</c:v>
                </c:pt>
                <c:pt idx="1">
                  <c:v>0.61290322580645162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7-439C-8B20-2BD08D61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 rt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AFD-4F32-B2A4-F0899F6BF1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AFD-4F32-B2A4-F0899F6BF1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AFD-4F32-B2A4-F0899F6BF1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AFD-4F32-B2A4-F0899F6BF1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AFD-4F32-B2A4-F0899F6BF1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AFD-4F32-B2A4-F0899F6BF1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AFD-4F32-B2A4-F0899F6BF1E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AFD-4F32-B2A4-F0899F6BF1E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AFD-4F32-B2A4-F0899F6BF1E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AFD-4F32-B2A4-F0899F6BF1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periodo'!$AK$7:$AK$15</c:f>
              <c:numCache>
                <c:formatCode>0%</c:formatCode>
                <c:ptCount val="9"/>
                <c:pt idx="0">
                  <c:v>0.38709677419354838</c:v>
                </c:pt>
                <c:pt idx="1">
                  <c:v>0.32258064516129031</c:v>
                </c:pt>
                <c:pt idx="2">
                  <c:v>9.6774193548387094E-2</c:v>
                </c:pt>
                <c:pt idx="3">
                  <c:v>3.2258064516129031E-2</c:v>
                </c:pt>
                <c:pt idx="4">
                  <c:v>3.2258064516129031E-2</c:v>
                </c:pt>
                <c:pt idx="5">
                  <c:v>6.4516129032258063E-2</c:v>
                </c:pt>
                <c:pt idx="6">
                  <c:v>0</c:v>
                </c:pt>
                <c:pt idx="7">
                  <c:v>6.4516129032258063E-2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6-4A4B-8A1E-0354782C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E6-4380-A844-C2735F4A1D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FE6-4380-A844-C2735F4A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periodo'!$AO$7:$AO$8</c:f>
              <c:strCache>
                <c:ptCount val="2"/>
                <c:pt idx="0">
                  <c:v>No tienen logros pendientes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Final 1 periodo'!$AQ$7:$AQ$8</c:f>
              <c:numCache>
                <c:formatCode>0%</c:formatCode>
                <c:ptCount val="2"/>
                <c:pt idx="0">
                  <c:v>0.38709677419354838</c:v>
                </c:pt>
                <c:pt idx="1">
                  <c:v>0.61290322580645162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6-484B-BA65-525BCF96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4.5140711577719437E-3"/>
          <c:w val="0.93888888888888888"/>
          <c:h val="0.64884186351706041"/>
        </c:manualLayout>
      </c:layout>
      <c:pie3DChart>
        <c:varyColors val="1"/>
        <c:ser>
          <c:idx val="0"/>
          <c:order val="0"/>
          <c:tx>
            <c:strRef>
              <c:f>'Informe Final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F13-4103-94CB-C02BDB7A5D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F13-4103-94CB-C02BDB7A5D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AF13-4103-94CB-C02BDB7A5D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AF13-4103-94CB-C02BDB7A5D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AF13-4103-94CB-C02BDB7A5D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AF13-4103-94CB-C02BDB7A5D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AF13-4103-94CB-C02BDB7A5D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AF13-4103-94CB-C02BDB7A5D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AF13-4103-94CB-C02BDB7A5D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AF13-4103-94CB-C02BDB7A5D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'Informe Final 1 periodo'!$AK$7:$AK$15</c:f>
              <c:numCache>
                <c:formatCode>0%</c:formatCode>
                <c:ptCount val="9"/>
                <c:pt idx="0">
                  <c:v>0.38709677419354838</c:v>
                </c:pt>
                <c:pt idx="1">
                  <c:v>0.32258064516129031</c:v>
                </c:pt>
                <c:pt idx="2">
                  <c:v>9.6774193548387094E-2</c:v>
                </c:pt>
                <c:pt idx="3">
                  <c:v>3.2258064516129031E-2</c:v>
                </c:pt>
                <c:pt idx="4">
                  <c:v>3.2258064516129031E-2</c:v>
                </c:pt>
                <c:pt idx="5">
                  <c:v>6.4516129032258063E-2</c:v>
                </c:pt>
                <c:pt idx="6">
                  <c:v>0</c:v>
                </c:pt>
                <c:pt idx="7">
                  <c:v>6.4516129032258063E-2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'Informe Final 1 periodo'!$AI$7:$AI$15</c15:sqref>
                        </c15:formulaRef>
                      </c:ext>
                    </c:extLst>
                    <c:strCach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4-AF13-4103-94CB-C02BDB7A5D1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</xdr:row>
      <xdr:rowOff>28575</xdr:rowOff>
    </xdr:from>
    <xdr:ext cx="7058025" cy="4086225"/>
    <xdr:graphicFrame macro="">
      <xdr:nvGraphicFramePr>
        <xdr:cNvPr id="1427423985" name="Chart 1">
          <a:extLst>
            <a:ext uri="{FF2B5EF4-FFF2-40B4-BE49-F238E27FC236}">
              <a16:creationId xmlns:a16="http://schemas.microsoft.com/office/drawing/2014/main" id="{00000000-0008-0000-0000-0000F1C21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228600</xdr:colOff>
      <xdr:row>24</xdr:row>
      <xdr:rowOff>180975</xdr:rowOff>
    </xdr:from>
    <xdr:ext cx="7172325" cy="4171950"/>
    <xdr:graphicFrame macro="">
      <xdr:nvGraphicFramePr>
        <xdr:cNvPr id="1173872309" name="Chart 2">
          <a:extLst>
            <a:ext uri="{FF2B5EF4-FFF2-40B4-BE49-F238E27FC236}">
              <a16:creationId xmlns:a16="http://schemas.microsoft.com/office/drawing/2014/main" id="{00000000-0008-0000-0000-0000B5DEF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228600</xdr:colOff>
      <xdr:row>47</xdr:row>
      <xdr:rowOff>171450</xdr:rowOff>
    </xdr:from>
    <xdr:ext cx="7200900" cy="4562475"/>
    <xdr:graphicFrame macro="">
      <xdr:nvGraphicFramePr>
        <xdr:cNvPr id="1506519805" name="Chart 3">
          <a:extLst>
            <a:ext uri="{FF2B5EF4-FFF2-40B4-BE49-F238E27FC236}">
              <a16:creationId xmlns:a16="http://schemas.microsoft.com/office/drawing/2014/main" id="{00000000-0008-0000-0000-0000FDAAC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1095375</xdr:colOff>
      <xdr:row>28</xdr:row>
      <xdr:rowOff>57150</xdr:rowOff>
    </xdr:from>
    <xdr:ext cx="13144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3538" y="3760950"/>
          <a:ext cx="1304925" cy="381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590550</xdr:colOff>
      <xdr:row>8</xdr:row>
      <xdr:rowOff>85725</xdr:rowOff>
    </xdr:from>
    <xdr:ext cx="5391150" cy="4229100"/>
    <xdr:graphicFrame macro="">
      <xdr:nvGraphicFramePr>
        <xdr:cNvPr id="2001320135" name="Chart 12">
          <a:extLst>
            <a:ext uri="{FF2B5EF4-FFF2-40B4-BE49-F238E27FC236}">
              <a16:creationId xmlns:a16="http://schemas.microsoft.com/office/drawing/2014/main" id="{00000000-0008-0000-0900-0000C7B8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2</xdr:row>
      <xdr:rowOff>219075</xdr:rowOff>
    </xdr:from>
    <xdr:ext cx="7505700" cy="2514600"/>
    <xdr:graphicFrame macro="">
      <xdr:nvGraphicFramePr>
        <xdr:cNvPr id="1762159365" name="Chart 13">
          <a:extLst>
            <a:ext uri="{FF2B5EF4-FFF2-40B4-BE49-F238E27FC236}">
              <a16:creationId xmlns:a16="http://schemas.microsoft.com/office/drawing/2014/main" id="{00000000-0008-0000-0A00-0000056B0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2</xdr:row>
      <xdr:rowOff>38100</xdr:rowOff>
    </xdr:from>
    <xdr:ext cx="5810250" cy="3667125"/>
    <xdr:graphicFrame macro="">
      <xdr:nvGraphicFramePr>
        <xdr:cNvPr id="303897752" name="Chart 14">
          <a:extLst>
            <a:ext uri="{FF2B5EF4-FFF2-40B4-BE49-F238E27FC236}">
              <a16:creationId xmlns:a16="http://schemas.microsoft.com/office/drawing/2014/main" id="{00000000-0008-0000-0B00-0000981C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123825</xdr:colOff>
      <xdr:row>21</xdr:row>
      <xdr:rowOff>85725</xdr:rowOff>
    </xdr:from>
    <xdr:ext cx="5810250" cy="3552825"/>
    <xdr:graphicFrame macro="">
      <xdr:nvGraphicFramePr>
        <xdr:cNvPr id="246044397" name="Chart 15">
          <a:extLst>
            <a:ext uri="{FF2B5EF4-FFF2-40B4-BE49-F238E27FC236}">
              <a16:creationId xmlns:a16="http://schemas.microsoft.com/office/drawing/2014/main" id="{00000000-0008-0000-0B00-0000ED56A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762000</xdr:colOff>
      <xdr:row>43</xdr:row>
      <xdr:rowOff>0</xdr:rowOff>
    </xdr:from>
    <xdr:ext cx="5419725" cy="2933700"/>
    <xdr:graphicFrame macro="">
      <xdr:nvGraphicFramePr>
        <xdr:cNvPr id="154393701" name="Chart 16">
          <a:extLst>
            <a:ext uri="{FF2B5EF4-FFF2-40B4-BE49-F238E27FC236}">
              <a16:creationId xmlns:a16="http://schemas.microsoft.com/office/drawing/2014/main" id="{00000000-0008-0000-0B00-000065DC3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5</xdr:row>
      <xdr:rowOff>161925</xdr:rowOff>
    </xdr:from>
    <xdr:ext cx="4572000" cy="2886075"/>
    <xdr:graphicFrame macro="">
      <xdr:nvGraphicFramePr>
        <xdr:cNvPr id="1121474327" name="Chart 17">
          <a:extLst>
            <a:ext uri="{FF2B5EF4-FFF2-40B4-BE49-F238E27FC236}">
              <a16:creationId xmlns:a16="http://schemas.microsoft.com/office/drawing/2014/main" id="{00000000-0008-0000-0C00-00001757D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266700</xdr:colOff>
      <xdr:row>21</xdr:row>
      <xdr:rowOff>57150</xdr:rowOff>
    </xdr:from>
    <xdr:ext cx="4572000" cy="2876550"/>
    <xdr:graphicFrame macro="">
      <xdr:nvGraphicFramePr>
        <xdr:cNvPr id="1368713668" name="Chart 18">
          <a:extLst>
            <a:ext uri="{FF2B5EF4-FFF2-40B4-BE49-F238E27FC236}">
              <a16:creationId xmlns:a16="http://schemas.microsoft.com/office/drawing/2014/main" id="{00000000-0008-0000-0C00-0000C4E99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257175</xdr:colOff>
      <xdr:row>36</xdr:row>
      <xdr:rowOff>123825</xdr:rowOff>
    </xdr:from>
    <xdr:ext cx="4572000" cy="2886075"/>
    <xdr:graphicFrame macro="">
      <xdr:nvGraphicFramePr>
        <xdr:cNvPr id="288198298" name="Chart 19">
          <a:extLst>
            <a:ext uri="{FF2B5EF4-FFF2-40B4-BE49-F238E27FC236}">
              <a16:creationId xmlns:a16="http://schemas.microsoft.com/office/drawing/2014/main" id="{00000000-0008-0000-0C00-00009A8E2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31</xdr:row>
      <xdr:rowOff>0</xdr:rowOff>
    </xdr:from>
    <xdr:ext cx="8391525" cy="5514975"/>
    <xdr:graphicFrame macro="">
      <xdr:nvGraphicFramePr>
        <xdr:cNvPr id="736313102" name="Chart 4">
          <a:extLst>
            <a:ext uri="{FF2B5EF4-FFF2-40B4-BE49-F238E27FC236}">
              <a16:creationId xmlns:a16="http://schemas.microsoft.com/office/drawing/2014/main" id="{00000000-0008-0000-0100-00000E3FE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552450</xdr:colOff>
      <xdr:row>5</xdr:row>
      <xdr:rowOff>123825</xdr:rowOff>
    </xdr:from>
    <xdr:ext cx="15316200" cy="2695575"/>
    <xdr:graphicFrame macro="">
      <xdr:nvGraphicFramePr>
        <xdr:cNvPr id="2029863046" name="Chart 5">
          <a:extLst>
            <a:ext uri="{FF2B5EF4-FFF2-40B4-BE49-F238E27FC236}">
              <a16:creationId xmlns:a16="http://schemas.microsoft.com/office/drawing/2014/main" id="{00000000-0008-0000-0200-00008640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314325</xdr:colOff>
      <xdr:row>10</xdr:row>
      <xdr:rowOff>57150</xdr:rowOff>
    </xdr:from>
    <xdr:ext cx="5905500" cy="3543300"/>
    <xdr:graphicFrame macro="">
      <xdr:nvGraphicFramePr>
        <xdr:cNvPr id="147429354" name="Chart 7">
          <a:extLst>
            <a:ext uri="{FF2B5EF4-FFF2-40B4-BE49-F238E27FC236}">
              <a16:creationId xmlns:a16="http://schemas.microsoft.com/office/drawing/2014/main" id="{00000000-0008-0000-0300-0000EA97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37</xdr:col>
      <xdr:colOff>730249</xdr:colOff>
      <xdr:row>16</xdr:row>
      <xdr:rowOff>77634</xdr:rowOff>
    </xdr:from>
    <xdr:to>
      <xdr:col>42</xdr:col>
      <xdr:colOff>150556</xdr:colOff>
      <xdr:row>29</xdr:row>
      <xdr:rowOff>116963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2D8251-8AB5-8A2F-423B-681C6351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761458</xdr:colOff>
      <xdr:row>15</xdr:row>
      <xdr:rowOff>14733</xdr:rowOff>
    </xdr:from>
    <xdr:to>
      <xdr:col>49</xdr:col>
      <xdr:colOff>5140</xdr:colOff>
      <xdr:row>28</xdr:row>
      <xdr:rowOff>81020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28146A-CE93-586A-6D34-D934343DA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56</xdr:col>
      <xdr:colOff>0</xdr:colOff>
      <xdr:row>10</xdr:row>
      <xdr:rowOff>0</xdr:rowOff>
    </xdr:from>
    <xdr:to>
      <xdr:col>63</xdr:col>
      <xdr:colOff>24580</xdr:colOff>
      <xdr:row>22</xdr:row>
      <xdr:rowOff>196920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ABD3BA-AD1E-4F5B-8187-FEFE83C7B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0</xdr:colOff>
      <xdr:row>24</xdr:row>
      <xdr:rowOff>0</xdr:rowOff>
    </xdr:from>
    <xdr:to>
      <xdr:col>63</xdr:col>
      <xdr:colOff>24580</xdr:colOff>
      <xdr:row>37</xdr:row>
      <xdr:rowOff>161363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8C2856-4A7B-4799-A098-0A449F86D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19</xdr:row>
      <xdr:rowOff>0</xdr:rowOff>
    </xdr:from>
    <xdr:to>
      <xdr:col>39</xdr:col>
      <xdr:colOff>267779</xdr:colOff>
      <xdr:row>32</xdr:row>
      <xdr:rowOff>146290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9F29A9-423E-4A2E-9D5D-5F46DB434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763797</xdr:colOff>
      <xdr:row>34</xdr:row>
      <xdr:rowOff>0</xdr:rowOff>
    </xdr:from>
    <xdr:to>
      <xdr:col>40</xdr:col>
      <xdr:colOff>107829</xdr:colOff>
      <xdr:row>50</xdr:row>
      <xdr:rowOff>35943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E55D131-740D-495F-A756-9F711916F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161925</xdr:rowOff>
    </xdr:from>
    <xdr:to>
      <xdr:col>9</xdr:col>
      <xdr:colOff>409575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A04886-16B8-44CC-A6DC-104BA5F00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21</xdr:row>
      <xdr:rowOff>114300</xdr:rowOff>
    </xdr:from>
    <xdr:to>
      <xdr:col>8</xdr:col>
      <xdr:colOff>285750</xdr:colOff>
      <xdr:row>36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B7A74F-3D5C-4ABE-ADB3-F27FBB242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304800</xdr:colOff>
      <xdr:row>20</xdr:row>
      <xdr:rowOff>142874</xdr:rowOff>
    </xdr:from>
    <xdr:to>
      <xdr:col>15</xdr:col>
      <xdr:colOff>571500</xdr:colOff>
      <xdr:row>35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53F943-46AB-4EAE-B57B-A66380FDC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676275</xdr:colOff>
      <xdr:row>3</xdr:row>
      <xdr:rowOff>47625</xdr:rowOff>
    </xdr:from>
    <xdr:ext cx="485775" cy="600075"/>
    <xdr:pic>
      <xdr:nvPicPr>
        <xdr:cNvPr id="2" name="image1.jpg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2</xdr:row>
      <xdr:rowOff>152400</xdr:rowOff>
    </xdr:from>
    <xdr:ext cx="4686300" cy="3114675"/>
    <xdr:graphicFrame macro="">
      <xdr:nvGraphicFramePr>
        <xdr:cNvPr id="1203498978" name="Chart 9">
          <a:extLst>
            <a:ext uri="{FF2B5EF4-FFF2-40B4-BE49-F238E27FC236}">
              <a16:creationId xmlns:a16="http://schemas.microsoft.com/office/drawing/2014/main" id="{00000000-0008-0000-0600-0000E2EFB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2</xdr:row>
      <xdr:rowOff>47625</xdr:rowOff>
    </xdr:from>
    <xdr:ext cx="6000750" cy="3629025"/>
    <xdr:graphicFrame macro="">
      <xdr:nvGraphicFramePr>
        <xdr:cNvPr id="1191414837" name="Chart 10">
          <a:extLst>
            <a:ext uri="{FF2B5EF4-FFF2-40B4-BE49-F238E27FC236}">
              <a16:creationId xmlns:a16="http://schemas.microsoft.com/office/drawing/2014/main" id="{00000000-0008-0000-0700-0000358C0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466725</xdr:colOff>
      <xdr:row>8</xdr:row>
      <xdr:rowOff>209550</xdr:rowOff>
    </xdr:from>
    <xdr:ext cx="5391150" cy="4229100"/>
    <xdr:graphicFrame macro="">
      <xdr:nvGraphicFramePr>
        <xdr:cNvPr id="944297922" name="Chart 11">
          <a:extLst>
            <a:ext uri="{FF2B5EF4-FFF2-40B4-BE49-F238E27FC236}">
              <a16:creationId xmlns:a16="http://schemas.microsoft.com/office/drawing/2014/main" id="{00000000-0008-0000-0800-0000C2D74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00"/>
  <sheetViews>
    <sheetView workbookViewId="0"/>
  </sheetViews>
  <sheetFormatPr baseColWidth="10" defaultColWidth="14.42578125" defaultRowHeight="15" customHeight="1"/>
  <cols>
    <col min="1" max="1" width="11.42578125" customWidth="1"/>
    <col min="2" max="3" width="19.5703125" customWidth="1"/>
    <col min="4" max="26" width="11.42578125" customWidth="1"/>
  </cols>
  <sheetData>
    <row r="2" spans="2:3">
      <c r="B2" s="1" t="s">
        <v>0</v>
      </c>
      <c r="C2" s="2" t="s">
        <v>1</v>
      </c>
    </row>
    <row r="3" spans="2:3">
      <c r="B3" s="3" t="s">
        <v>2</v>
      </c>
      <c r="C3" s="4" t="e">
        <f>COUNTIF(#REF!,"0")</f>
        <v>#REF!</v>
      </c>
    </row>
    <row r="4" spans="2:3">
      <c r="B4" s="3" t="s">
        <v>3</v>
      </c>
      <c r="C4" s="4" t="e">
        <f>COUNTIF(#REF!,"1")</f>
        <v>#REF!</v>
      </c>
    </row>
    <row r="5" spans="2:3">
      <c r="B5" s="3" t="s">
        <v>4</v>
      </c>
      <c r="C5" s="4" t="e">
        <f>COUNTIF(#REF!,"2")</f>
        <v>#REF!</v>
      </c>
    </row>
    <row r="6" spans="2:3">
      <c r="B6" s="3" t="s">
        <v>5</v>
      </c>
      <c r="C6" s="4" t="e">
        <f>COUNTIF(#REF!,"3")</f>
        <v>#REF!</v>
      </c>
    </row>
    <row r="7" spans="2:3">
      <c r="B7" s="3" t="s">
        <v>6</v>
      </c>
      <c r="C7" s="4" t="e">
        <f>COUNTIF(#REF!,"4")</f>
        <v>#REF!</v>
      </c>
    </row>
    <row r="8" spans="2:3">
      <c r="B8" s="3" t="s">
        <v>7</v>
      </c>
      <c r="C8" s="4" t="e">
        <f>COUNTIF(#REF!,"5")</f>
        <v>#REF!</v>
      </c>
    </row>
    <row r="9" spans="2:3">
      <c r="B9" s="3" t="s">
        <v>8</v>
      </c>
      <c r="C9" s="4" t="e">
        <f>COUNTIF(#REF!,"6")</f>
        <v>#REF!</v>
      </c>
    </row>
    <row r="10" spans="2:3">
      <c r="B10" s="3" t="s">
        <v>9</v>
      </c>
      <c r="C10" s="4" t="e">
        <f>COUNTIF(#REF!,"7")</f>
        <v>#REF!</v>
      </c>
    </row>
    <row r="11" spans="2:3">
      <c r="B11" s="3" t="s">
        <v>10</v>
      </c>
      <c r="C11" s="4" t="e">
        <f>COUNTIF(#REF!,"8")</f>
        <v>#REF!</v>
      </c>
    </row>
    <row r="12" spans="2:3">
      <c r="B12" s="3" t="s">
        <v>11</v>
      </c>
      <c r="C12" s="4" t="e">
        <f>COUNTIF(#REF!,"9")</f>
        <v>#REF!</v>
      </c>
    </row>
    <row r="13" spans="2:3">
      <c r="B13" s="3" t="s">
        <v>12</v>
      </c>
      <c r="C13" s="4" t="e">
        <f>COUNTIF(#REF!,"10")</f>
        <v>#REF!</v>
      </c>
    </row>
    <row r="14" spans="2:3">
      <c r="B14" s="3" t="s">
        <v>13</v>
      </c>
      <c r="C14" s="4" t="e">
        <f>COUNTIF(#REF!,"11")</f>
        <v>#REF!</v>
      </c>
    </row>
    <row r="15" spans="2:3">
      <c r="B15" s="3" t="s">
        <v>14</v>
      </c>
      <c r="C15" s="4" t="e">
        <f>COUNTIF(#REF!,"12")</f>
        <v>#REF!</v>
      </c>
    </row>
    <row r="16" spans="2:3">
      <c r="B16" s="3" t="s">
        <v>15</v>
      </c>
      <c r="C16" s="4" t="e">
        <f>COUNTIF(#REF!,"13")</f>
        <v>#REF!</v>
      </c>
    </row>
    <row r="17" spans="2:4">
      <c r="B17" s="3" t="s">
        <v>16</v>
      </c>
      <c r="C17" s="4" t="e">
        <f>COUNTIF(#REF!,"14")</f>
        <v>#REF!</v>
      </c>
    </row>
    <row r="18" spans="2:4">
      <c r="B18" s="3" t="s">
        <v>17</v>
      </c>
      <c r="C18" s="4" t="e">
        <f>COUNTIF(#REF!,"15")</f>
        <v>#REF!</v>
      </c>
    </row>
    <row r="19" spans="2:4">
      <c r="B19" s="3" t="s">
        <v>18</v>
      </c>
      <c r="C19" s="4" t="e">
        <f>COUNTIF(#REF!,"16")</f>
        <v>#REF!</v>
      </c>
    </row>
    <row r="20" spans="2:4">
      <c r="B20" s="3" t="s">
        <v>19</v>
      </c>
      <c r="C20" s="4" t="e">
        <f>COUNTIF(#REF!,"17")</f>
        <v>#REF!</v>
      </c>
    </row>
    <row r="21" spans="2:4" ht="15.75" customHeight="1">
      <c r="B21" s="3" t="s">
        <v>20</v>
      </c>
      <c r="C21" s="4" t="e">
        <f>COUNTIF(#REF!,"18")</f>
        <v>#REF!</v>
      </c>
    </row>
    <row r="22" spans="2:4" ht="15.75" customHeight="1">
      <c r="B22" s="5" t="s">
        <v>21</v>
      </c>
      <c r="C22" s="6" t="e">
        <f>COUNTIF(#REF!,"19")</f>
        <v>#REF!</v>
      </c>
    </row>
    <row r="23" spans="2:4" ht="15.75" customHeight="1"/>
    <row r="24" spans="2:4" ht="15.75" customHeight="1"/>
    <row r="25" spans="2:4" ht="15.75" customHeight="1"/>
    <row r="26" spans="2:4" ht="15.75" customHeight="1">
      <c r="B26" s="7" t="s">
        <v>22</v>
      </c>
      <c r="C26" s="8" t="s">
        <v>0</v>
      </c>
      <c r="D26" s="9" t="s">
        <v>23</v>
      </c>
    </row>
    <row r="27" spans="2:4" ht="15.75" customHeight="1">
      <c r="B27" s="10" t="s">
        <v>24</v>
      </c>
      <c r="C27" s="11" t="e">
        <f>COUNTIF(#REF!,"&lt;3")</f>
        <v>#REF!</v>
      </c>
      <c r="D27" s="12" t="e">
        <f t="shared" ref="D27:D28" si="0">C27/$C$29</f>
        <v>#REF!</v>
      </c>
    </row>
    <row r="28" spans="2:4" ht="15.75" customHeight="1">
      <c r="B28" s="13" t="s">
        <v>25</v>
      </c>
      <c r="C28" s="14" t="e">
        <f>COUNTIF(#REF!,"&gt;=3")</f>
        <v>#REF!</v>
      </c>
      <c r="D28" s="15" t="e">
        <f t="shared" si="0"/>
        <v>#REF!</v>
      </c>
    </row>
    <row r="29" spans="2:4" ht="15.75" customHeight="1">
      <c r="B29" s="16" t="s">
        <v>26</v>
      </c>
      <c r="C29" s="17" t="e">
        <f t="shared" ref="C29:D29" si="1">SUM(C27:C28)</f>
        <v>#REF!</v>
      </c>
      <c r="D29" s="18" t="e">
        <f t="shared" si="1"/>
        <v>#REF!</v>
      </c>
    </row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customWidth="1"/>
    <col min="6" max="7" width="8.85546875" customWidth="1"/>
    <col min="8" max="9" width="8.28515625" customWidth="1"/>
    <col min="10" max="10" width="6.28515625" customWidth="1"/>
    <col min="11" max="11" width="6.7109375" customWidth="1"/>
    <col min="12" max="12" width="8.140625" customWidth="1"/>
    <col min="13" max="15" width="11.42578125" customWidth="1"/>
    <col min="16" max="16" width="18.5703125" customWidth="1"/>
    <col min="17" max="26" width="11.42578125" customWidth="1"/>
  </cols>
  <sheetData>
    <row r="1" spans="1:17" ht="15" customHeight="1">
      <c r="A1" s="161" t="s">
        <v>27</v>
      </c>
      <c r="B1" s="162"/>
      <c r="C1" s="19" t="s">
        <v>145</v>
      </c>
      <c r="D1" s="19"/>
      <c r="E1" s="19"/>
      <c r="F1" s="189"/>
      <c r="G1" s="190"/>
      <c r="H1" s="190"/>
      <c r="I1" s="190"/>
      <c r="J1" s="190"/>
      <c r="K1" s="190"/>
      <c r="L1" s="191"/>
      <c r="M1" s="166" t="s">
        <v>29</v>
      </c>
    </row>
    <row r="2" spans="1:17">
      <c r="A2" s="195" t="s">
        <v>146</v>
      </c>
      <c r="B2" s="196"/>
      <c r="C2" s="129" t="s">
        <v>147</v>
      </c>
      <c r="D2" s="129"/>
      <c r="E2" s="129"/>
      <c r="F2" s="192"/>
      <c r="G2" s="193"/>
      <c r="H2" s="193"/>
      <c r="I2" s="193"/>
      <c r="J2" s="193"/>
      <c r="K2" s="193"/>
      <c r="L2" s="194"/>
      <c r="M2" s="167"/>
    </row>
    <row r="3" spans="1:17" ht="94.5" customHeight="1">
      <c r="A3" s="197" t="s">
        <v>30</v>
      </c>
      <c r="B3" s="199" t="s">
        <v>31</v>
      </c>
      <c r="C3" s="130" t="s">
        <v>32</v>
      </c>
      <c r="D3" s="24" t="s">
        <v>33</v>
      </c>
      <c r="E3" s="24" t="s">
        <v>33</v>
      </c>
      <c r="F3" s="24" t="s">
        <v>36</v>
      </c>
      <c r="G3" s="24" t="s">
        <v>39</v>
      </c>
      <c r="H3" s="24" t="s">
        <v>40</v>
      </c>
      <c r="I3" s="24" t="s">
        <v>51</v>
      </c>
      <c r="J3" s="24" t="s">
        <v>41</v>
      </c>
      <c r="K3" s="24" t="s">
        <v>45</v>
      </c>
      <c r="L3" s="24" t="s">
        <v>48</v>
      </c>
      <c r="M3" s="167"/>
    </row>
    <row r="4" spans="1:17">
      <c r="A4" s="198"/>
      <c r="B4" s="168"/>
      <c r="C4" s="131"/>
      <c r="D4" s="37">
        <v>1</v>
      </c>
      <c r="E4" s="37">
        <v>1</v>
      </c>
      <c r="F4" s="37">
        <v>1</v>
      </c>
      <c r="G4" s="37">
        <v>1</v>
      </c>
      <c r="H4" s="37">
        <v>1</v>
      </c>
      <c r="I4" s="37">
        <v>1</v>
      </c>
      <c r="J4" s="37"/>
      <c r="K4" s="37"/>
      <c r="L4" s="37">
        <v>1</v>
      </c>
      <c r="M4" s="168"/>
    </row>
    <row r="5" spans="1:17" ht="24" customHeight="1">
      <c r="A5" s="149">
        <v>1</v>
      </c>
      <c r="B5" s="150" t="s">
        <v>220</v>
      </c>
      <c r="C5" s="88" t="s">
        <v>221</v>
      </c>
      <c r="D5" s="87"/>
      <c r="E5" s="87"/>
      <c r="F5" s="151"/>
      <c r="G5" s="34" t="s">
        <v>58</v>
      </c>
      <c r="H5" s="34"/>
      <c r="I5" s="34" t="s">
        <v>58</v>
      </c>
      <c r="J5" s="34" t="s">
        <v>58</v>
      </c>
      <c r="K5" s="34" t="s">
        <v>58</v>
      </c>
      <c r="L5" s="34" t="s">
        <v>58</v>
      </c>
      <c r="M5" s="152">
        <f t="shared" ref="M5:M29" si="0">COUNTIF(E5:L5,"x")</f>
        <v>5</v>
      </c>
      <c r="O5" s="50" t="s">
        <v>63</v>
      </c>
      <c r="P5" s="50" t="s">
        <v>64</v>
      </c>
      <c r="Q5" s="50" t="s">
        <v>23</v>
      </c>
    </row>
    <row r="6" spans="1:17" ht="24" customHeight="1">
      <c r="A6" s="149">
        <v>2</v>
      </c>
      <c r="B6" s="153" t="s">
        <v>222</v>
      </c>
      <c r="C6" s="88" t="s">
        <v>223</v>
      </c>
      <c r="D6" s="87"/>
      <c r="E6" s="87"/>
      <c r="F6" s="34"/>
      <c r="G6" s="34"/>
      <c r="H6" s="34"/>
      <c r="I6" s="34"/>
      <c r="J6" s="34"/>
      <c r="K6" s="34" t="s">
        <v>58</v>
      </c>
      <c r="L6" s="34" t="s">
        <v>58</v>
      </c>
      <c r="M6" s="152">
        <f t="shared" si="0"/>
        <v>2</v>
      </c>
      <c r="O6" s="51" t="s">
        <v>2</v>
      </c>
      <c r="P6" s="50">
        <f>COUNTIF($M$5:$M$29,"0")</f>
        <v>11</v>
      </c>
      <c r="Q6" s="52">
        <f t="shared" ref="Q6:Q15" si="1">P6/$P$16</f>
        <v>0.44</v>
      </c>
    </row>
    <row r="7" spans="1:17" ht="24" customHeight="1">
      <c r="A7" s="149">
        <v>3</v>
      </c>
      <c r="B7" s="153" t="s">
        <v>224</v>
      </c>
      <c r="C7" s="88" t="s">
        <v>225</v>
      </c>
      <c r="D7" s="87"/>
      <c r="E7" s="87"/>
      <c r="F7" s="34"/>
      <c r="G7" s="34"/>
      <c r="H7" s="34" t="s">
        <v>58</v>
      </c>
      <c r="I7" s="34"/>
      <c r="J7" s="34" t="s">
        <v>58</v>
      </c>
      <c r="K7" s="34"/>
      <c r="L7" s="34" t="s">
        <v>58</v>
      </c>
      <c r="M7" s="152">
        <f t="shared" si="0"/>
        <v>3</v>
      </c>
      <c r="O7" s="51" t="s">
        <v>3</v>
      </c>
      <c r="P7" s="50">
        <f>COUNTIF($M$5:$M$29,"1")</f>
        <v>2</v>
      </c>
      <c r="Q7" s="52">
        <f t="shared" si="1"/>
        <v>0.08</v>
      </c>
    </row>
    <row r="8" spans="1:17" ht="24" customHeight="1">
      <c r="A8" s="149">
        <v>4</v>
      </c>
      <c r="B8" s="153" t="s">
        <v>226</v>
      </c>
      <c r="C8" s="88" t="s">
        <v>227</v>
      </c>
      <c r="D8" s="87"/>
      <c r="E8" s="87" t="s">
        <v>58</v>
      </c>
      <c r="F8" s="34"/>
      <c r="G8" s="34"/>
      <c r="H8" s="34"/>
      <c r="I8" s="34"/>
      <c r="J8" s="34"/>
      <c r="K8" s="34"/>
      <c r="L8" s="34"/>
      <c r="M8" s="152">
        <f t="shared" si="0"/>
        <v>1</v>
      </c>
      <c r="O8" s="51" t="s">
        <v>4</v>
      </c>
      <c r="P8" s="50">
        <f>COUNTIF($M$5:$M$29,"2")</f>
        <v>3</v>
      </c>
      <c r="Q8" s="52">
        <f t="shared" si="1"/>
        <v>0.12</v>
      </c>
    </row>
    <row r="9" spans="1:17" ht="24" customHeight="1">
      <c r="A9" s="149">
        <v>5</v>
      </c>
      <c r="B9" s="153" t="s">
        <v>228</v>
      </c>
      <c r="C9" s="88" t="s">
        <v>229</v>
      </c>
      <c r="D9" s="87"/>
      <c r="E9" s="87"/>
      <c r="F9" s="34"/>
      <c r="G9" s="34"/>
      <c r="H9" s="34" t="s">
        <v>58</v>
      </c>
      <c r="I9" s="34"/>
      <c r="J9" s="34" t="s">
        <v>58</v>
      </c>
      <c r="K9" s="34"/>
      <c r="L9" s="34"/>
      <c r="M9" s="152">
        <f t="shared" si="0"/>
        <v>2</v>
      </c>
      <c r="O9" s="51" t="s">
        <v>5</v>
      </c>
      <c r="P9" s="50">
        <f>COUNTIF($M$5:$M$29,"3")</f>
        <v>2</v>
      </c>
      <c r="Q9" s="52">
        <f t="shared" si="1"/>
        <v>0.08</v>
      </c>
    </row>
    <row r="10" spans="1:17" ht="24" customHeight="1">
      <c r="A10" s="149">
        <v>6</v>
      </c>
      <c r="B10" s="153" t="s">
        <v>230</v>
      </c>
      <c r="C10" s="88" t="s">
        <v>231</v>
      </c>
      <c r="D10" s="87"/>
      <c r="E10" s="87"/>
      <c r="F10" s="34"/>
      <c r="G10" s="34" t="s">
        <v>58</v>
      </c>
      <c r="H10" s="34" t="s">
        <v>58</v>
      </c>
      <c r="I10" s="34"/>
      <c r="J10" s="34" t="s">
        <v>58</v>
      </c>
      <c r="K10" s="34"/>
      <c r="L10" s="34" t="s">
        <v>58</v>
      </c>
      <c r="M10" s="152">
        <f t="shared" si="0"/>
        <v>4</v>
      </c>
      <c r="O10" s="51" t="s">
        <v>6</v>
      </c>
      <c r="P10" s="50">
        <f>COUNTIF($M$5:$M$29,"4")</f>
        <v>3</v>
      </c>
      <c r="Q10" s="52">
        <f t="shared" si="1"/>
        <v>0.12</v>
      </c>
    </row>
    <row r="11" spans="1:17" ht="24" customHeight="1">
      <c r="A11" s="149">
        <v>7</v>
      </c>
      <c r="B11" s="153" t="s">
        <v>232</v>
      </c>
      <c r="C11" s="88" t="s">
        <v>233</v>
      </c>
      <c r="D11" s="87"/>
      <c r="E11" s="87"/>
      <c r="F11" s="34"/>
      <c r="G11" s="34"/>
      <c r="H11" s="34"/>
      <c r="I11" s="34"/>
      <c r="J11" s="34"/>
      <c r="K11" s="34"/>
      <c r="L11" s="34"/>
      <c r="M11" s="152">
        <f t="shared" si="0"/>
        <v>0</v>
      </c>
      <c r="O11" s="51" t="s">
        <v>7</v>
      </c>
      <c r="P11" s="50">
        <f>COUNTIF($M$5:$M$29,"5")</f>
        <v>3</v>
      </c>
      <c r="Q11" s="52">
        <f t="shared" si="1"/>
        <v>0.12</v>
      </c>
    </row>
    <row r="12" spans="1:17" ht="24" customHeight="1">
      <c r="A12" s="149">
        <v>8</v>
      </c>
      <c r="B12" s="153" t="s">
        <v>234</v>
      </c>
      <c r="C12" s="88" t="s">
        <v>235</v>
      </c>
      <c r="D12" s="87"/>
      <c r="E12" s="87" t="s">
        <v>58</v>
      </c>
      <c r="F12" s="34"/>
      <c r="G12" s="34"/>
      <c r="H12" s="34" t="s">
        <v>58</v>
      </c>
      <c r="I12" s="34"/>
      <c r="J12" s="34" t="s">
        <v>58</v>
      </c>
      <c r="K12" s="34" t="s">
        <v>58</v>
      </c>
      <c r="L12" s="34" t="s">
        <v>58</v>
      </c>
      <c r="M12" s="152">
        <f t="shared" si="0"/>
        <v>5</v>
      </c>
      <c r="O12" s="51" t="s">
        <v>8</v>
      </c>
      <c r="P12" s="50">
        <f>COUNTIF($M$5:$M$29,"6")</f>
        <v>0</v>
      </c>
      <c r="Q12" s="52">
        <f t="shared" si="1"/>
        <v>0</v>
      </c>
    </row>
    <row r="13" spans="1:17" ht="24" customHeight="1">
      <c r="A13" s="149">
        <v>9</v>
      </c>
      <c r="B13" s="153" t="s">
        <v>236</v>
      </c>
      <c r="C13" s="88" t="s">
        <v>237</v>
      </c>
      <c r="D13" s="87"/>
      <c r="E13" s="87"/>
      <c r="F13" s="34"/>
      <c r="G13" s="34"/>
      <c r="H13" s="34"/>
      <c r="I13" s="34"/>
      <c r="J13" s="34"/>
      <c r="K13" s="34"/>
      <c r="L13" s="34"/>
      <c r="M13" s="152">
        <f t="shared" si="0"/>
        <v>0</v>
      </c>
      <c r="O13" s="51" t="s">
        <v>9</v>
      </c>
      <c r="P13" s="50">
        <f>COUNTIF($M$5:$M$29,"7")</f>
        <v>1</v>
      </c>
      <c r="Q13" s="52">
        <f t="shared" si="1"/>
        <v>0.04</v>
      </c>
    </row>
    <row r="14" spans="1:17" ht="24" customHeight="1">
      <c r="A14" s="149">
        <v>10</v>
      </c>
      <c r="B14" s="153" t="s">
        <v>238</v>
      </c>
      <c r="C14" s="88" t="s">
        <v>239</v>
      </c>
      <c r="D14" s="87"/>
      <c r="E14" s="87"/>
      <c r="F14" s="34"/>
      <c r="G14" s="34"/>
      <c r="H14" s="34"/>
      <c r="I14" s="34"/>
      <c r="J14" s="34"/>
      <c r="K14" s="34"/>
      <c r="L14" s="34"/>
      <c r="M14" s="152">
        <f t="shared" si="0"/>
        <v>0</v>
      </c>
      <c r="O14" s="51" t="s">
        <v>10</v>
      </c>
      <c r="P14" s="50">
        <f>COUNTIF($M$5:$M$29,"8")</f>
        <v>0</v>
      </c>
      <c r="Q14" s="52">
        <f t="shared" si="1"/>
        <v>0</v>
      </c>
    </row>
    <row r="15" spans="1:17" ht="24" customHeight="1">
      <c r="A15" s="149">
        <v>11</v>
      </c>
      <c r="B15" s="153" t="s">
        <v>240</v>
      </c>
      <c r="C15" s="88" t="s">
        <v>241</v>
      </c>
      <c r="D15" s="87"/>
      <c r="E15" s="87"/>
      <c r="F15" s="34"/>
      <c r="G15" s="34" t="s">
        <v>58</v>
      </c>
      <c r="H15" s="34"/>
      <c r="I15" s="34"/>
      <c r="J15" s="34" t="s">
        <v>58</v>
      </c>
      <c r="K15" s="34" t="s">
        <v>58</v>
      </c>
      <c r="L15" s="34" t="s">
        <v>58</v>
      </c>
      <c r="M15" s="152">
        <f t="shared" si="0"/>
        <v>4</v>
      </c>
      <c r="O15" s="51"/>
      <c r="Q15" s="52">
        <f t="shared" si="1"/>
        <v>0</v>
      </c>
    </row>
    <row r="16" spans="1:17" ht="24" customHeight="1">
      <c r="A16" s="149">
        <v>12</v>
      </c>
      <c r="B16" s="153" t="s">
        <v>242</v>
      </c>
      <c r="C16" s="88" t="s">
        <v>243</v>
      </c>
      <c r="D16" s="87"/>
      <c r="E16" s="87"/>
      <c r="F16" s="34"/>
      <c r="G16" s="34"/>
      <c r="H16" s="34"/>
      <c r="I16" s="34"/>
      <c r="J16" s="34"/>
      <c r="K16" s="34"/>
      <c r="L16" s="34"/>
      <c r="M16" s="152">
        <f t="shared" si="0"/>
        <v>0</v>
      </c>
      <c r="P16" s="50">
        <f>SUM(P6:P15)</f>
        <v>25</v>
      </c>
    </row>
    <row r="17" spans="1:16" ht="24" customHeight="1">
      <c r="A17" s="149">
        <v>13</v>
      </c>
      <c r="B17" s="153" t="s">
        <v>244</v>
      </c>
      <c r="C17" s="88" t="s">
        <v>245</v>
      </c>
      <c r="D17" s="87"/>
      <c r="E17" s="87"/>
      <c r="F17" s="34"/>
      <c r="G17" s="34"/>
      <c r="H17" s="34"/>
      <c r="I17" s="34"/>
      <c r="J17" s="34"/>
      <c r="K17" s="34"/>
      <c r="L17" s="34"/>
      <c r="M17" s="152">
        <f t="shared" si="0"/>
        <v>0</v>
      </c>
    </row>
    <row r="18" spans="1:16" ht="24" customHeight="1">
      <c r="A18" s="149">
        <v>14</v>
      </c>
      <c r="B18" s="153" t="s">
        <v>246</v>
      </c>
      <c r="C18" s="88" t="s">
        <v>247</v>
      </c>
      <c r="D18" s="87"/>
      <c r="E18" s="87"/>
      <c r="F18" s="34"/>
      <c r="G18" s="34" t="s">
        <v>58</v>
      </c>
      <c r="H18" s="34"/>
      <c r="I18" s="34"/>
      <c r="J18" s="34"/>
      <c r="K18" s="34"/>
      <c r="L18" s="34"/>
      <c r="M18" s="152">
        <f t="shared" si="0"/>
        <v>1</v>
      </c>
    </row>
    <row r="19" spans="1:16" ht="24" customHeight="1">
      <c r="A19" s="149">
        <v>15</v>
      </c>
      <c r="B19" s="153" t="s">
        <v>248</v>
      </c>
      <c r="C19" s="88" t="s">
        <v>249</v>
      </c>
      <c r="D19" s="87"/>
      <c r="E19" s="87" t="s">
        <v>58</v>
      </c>
      <c r="F19" s="34"/>
      <c r="G19" s="34" t="s">
        <v>58</v>
      </c>
      <c r="H19" s="34"/>
      <c r="I19" s="34"/>
      <c r="J19" s="34" t="s">
        <v>58</v>
      </c>
      <c r="K19" s="34" t="s">
        <v>58</v>
      </c>
      <c r="L19" s="34" t="s">
        <v>58</v>
      </c>
      <c r="M19" s="152">
        <f t="shared" si="0"/>
        <v>5</v>
      </c>
    </row>
    <row r="20" spans="1:16" ht="24" customHeight="1">
      <c r="A20" s="149">
        <v>16</v>
      </c>
      <c r="B20" s="153" t="s">
        <v>250</v>
      </c>
      <c r="C20" s="88" t="s">
        <v>251</v>
      </c>
      <c r="D20" s="87"/>
      <c r="E20" s="87"/>
      <c r="F20" s="34"/>
      <c r="G20" s="34"/>
      <c r="H20" s="34"/>
      <c r="I20" s="34"/>
      <c r="J20" s="34"/>
      <c r="K20" s="34"/>
      <c r="L20" s="34"/>
      <c r="M20" s="152">
        <f t="shared" si="0"/>
        <v>0</v>
      </c>
    </row>
    <row r="21" spans="1:16" ht="24" customHeight="1">
      <c r="A21" s="149">
        <v>17</v>
      </c>
      <c r="B21" s="153" t="s">
        <v>252</v>
      </c>
      <c r="C21" s="88" t="s">
        <v>253</v>
      </c>
      <c r="D21" s="87"/>
      <c r="E21" s="87"/>
      <c r="F21" s="34"/>
      <c r="G21" s="34"/>
      <c r="H21" s="34"/>
      <c r="I21" s="34"/>
      <c r="J21" s="34"/>
      <c r="K21" s="34"/>
      <c r="L21" s="34"/>
      <c r="M21" s="152">
        <f t="shared" si="0"/>
        <v>0</v>
      </c>
      <c r="P21" s="50">
        <f>SUM(P6:P8)</f>
        <v>16</v>
      </c>
    </row>
    <row r="22" spans="1:16" ht="24" customHeight="1">
      <c r="A22" s="149">
        <v>18</v>
      </c>
      <c r="B22" s="153" t="s">
        <v>254</v>
      </c>
      <c r="C22" s="88" t="s">
        <v>255</v>
      </c>
      <c r="D22" s="87"/>
      <c r="E22" s="87" t="s">
        <v>58</v>
      </c>
      <c r="F22" s="34"/>
      <c r="G22" s="34" t="s">
        <v>58</v>
      </c>
      <c r="H22" s="34" t="s">
        <v>58</v>
      </c>
      <c r="I22" s="34" t="s">
        <v>58</v>
      </c>
      <c r="J22" s="34" t="s">
        <v>58</v>
      </c>
      <c r="K22" s="34" t="s">
        <v>58</v>
      </c>
      <c r="L22" s="34" t="s">
        <v>58</v>
      </c>
      <c r="M22" s="152">
        <f t="shared" si="0"/>
        <v>7</v>
      </c>
    </row>
    <row r="23" spans="1:16" ht="24" customHeight="1">
      <c r="A23" s="149">
        <v>19</v>
      </c>
      <c r="B23" s="153" t="s">
        <v>256</v>
      </c>
      <c r="C23" s="88" t="s">
        <v>257</v>
      </c>
      <c r="D23" s="87"/>
      <c r="E23" s="87"/>
      <c r="F23" s="34"/>
      <c r="G23" s="34"/>
      <c r="H23" s="34" t="s">
        <v>58</v>
      </c>
      <c r="I23" s="34"/>
      <c r="J23" s="34"/>
      <c r="K23" s="34"/>
      <c r="L23" s="34" t="s">
        <v>58</v>
      </c>
      <c r="M23" s="152">
        <f t="shared" si="0"/>
        <v>2</v>
      </c>
    </row>
    <row r="24" spans="1:16" ht="24" customHeight="1">
      <c r="A24" s="149">
        <v>20</v>
      </c>
      <c r="B24" s="153" t="s">
        <v>258</v>
      </c>
      <c r="C24" s="88" t="s">
        <v>259</v>
      </c>
      <c r="D24" s="87"/>
      <c r="E24" s="87" t="s">
        <v>58</v>
      </c>
      <c r="F24" s="34"/>
      <c r="G24" s="34" t="s">
        <v>58</v>
      </c>
      <c r="H24" s="34" t="s">
        <v>58</v>
      </c>
      <c r="I24" s="34"/>
      <c r="J24" s="34"/>
      <c r="K24" s="34"/>
      <c r="L24" s="34" t="s">
        <v>58</v>
      </c>
      <c r="M24" s="152">
        <f t="shared" si="0"/>
        <v>4</v>
      </c>
    </row>
    <row r="25" spans="1:16" ht="24" customHeight="1">
      <c r="A25" s="149">
        <v>21</v>
      </c>
      <c r="B25" s="153" t="s">
        <v>260</v>
      </c>
      <c r="C25" s="88" t="s">
        <v>261</v>
      </c>
      <c r="D25" s="87"/>
      <c r="E25" s="87" t="s">
        <v>58</v>
      </c>
      <c r="F25" s="34"/>
      <c r="G25" s="34"/>
      <c r="H25" s="34"/>
      <c r="I25" s="34"/>
      <c r="J25" s="34"/>
      <c r="K25" s="34" t="s">
        <v>58</v>
      </c>
      <c r="L25" s="34" t="s">
        <v>58</v>
      </c>
      <c r="M25" s="152">
        <f t="shared" si="0"/>
        <v>3</v>
      </c>
    </row>
    <row r="26" spans="1:16" ht="24" customHeight="1">
      <c r="A26" s="149">
        <v>22</v>
      </c>
      <c r="B26" s="153" t="s">
        <v>262</v>
      </c>
      <c r="C26" s="88" t="s">
        <v>263</v>
      </c>
      <c r="D26" s="87"/>
      <c r="E26" s="87"/>
      <c r="F26" s="34"/>
      <c r="G26" s="34"/>
      <c r="H26" s="34"/>
      <c r="I26" s="34"/>
      <c r="J26" s="34"/>
      <c r="K26" s="34"/>
      <c r="L26" s="34"/>
      <c r="M26" s="152">
        <f t="shared" si="0"/>
        <v>0</v>
      </c>
    </row>
    <row r="27" spans="1:16" ht="24" customHeight="1">
      <c r="A27" s="149">
        <v>23</v>
      </c>
      <c r="B27" s="153" t="s">
        <v>264</v>
      </c>
      <c r="C27" s="88" t="s">
        <v>265</v>
      </c>
      <c r="D27" s="87"/>
      <c r="E27" s="87"/>
      <c r="F27" s="34"/>
      <c r="G27" s="34"/>
      <c r="H27" s="34"/>
      <c r="I27" s="34"/>
      <c r="J27" s="34"/>
      <c r="K27" s="34"/>
      <c r="L27" s="34"/>
      <c r="M27" s="152">
        <f t="shared" si="0"/>
        <v>0</v>
      </c>
    </row>
    <row r="28" spans="1:16" ht="24" customHeight="1">
      <c r="A28" s="149">
        <v>24</v>
      </c>
      <c r="B28" s="153" t="s">
        <v>266</v>
      </c>
      <c r="C28" s="88" t="s">
        <v>267</v>
      </c>
      <c r="D28" s="87"/>
      <c r="E28" s="87"/>
      <c r="F28" s="34"/>
      <c r="G28" s="34"/>
      <c r="H28" s="34"/>
      <c r="I28" s="34"/>
      <c r="J28" s="34"/>
      <c r="K28" s="34"/>
      <c r="L28" s="34"/>
      <c r="M28" s="152">
        <f t="shared" si="0"/>
        <v>0</v>
      </c>
    </row>
    <row r="29" spans="1:16" ht="24" customHeight="1">
      <c r="A29" s="149">
        <v>25</v>
      </c>
      <c r="B29" s="153" t="s">
        <v>268</v>
      </c>
      <c r="C29" s="88" t="s">
        <v>269</v>
      </c>
      <c r="D29" s="87"/>
      <c r="E29" s="87"/>
      <c r="F29" s="34"/>
      <c r="G29" s="34"/>
      <c r="H29" s="34"/>
      <c r="I29" s="34"/>
      <c r="J29" s="34"/>
      <c r="K29" s="34"/>
      <c r="L29" s="34"/>
      <c r="M29" s="152">
        <f t="shared" si="0"/>
        <v>0</v>
      </c>
    </row>
    <row r="30" spans="1:16" ht="15.75" customHeight="1">
      <c r="E30" s="154"/>
      <c r="F30" s="34"/>
      <c r="G30" s="34"/>
      <c r="I30" s="58"/>
      <c r="J30" s="58"/>
    </row>
    <row r="31" spans="1:16" ht="15.75" customHeight="1">
      <c r="F31" s="58"/>
      <c r="G31" s="58"/>
    </row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B1"/>
    <mergeCell ref="F1:L2"/>
    <mergeCell ref="M1:M4"/>
    <mergeCell ref="A2:B2"/>
    <mergeCell ref="A3:A4"/>
    <mergeCell ref="B3:B4"/>
  </mergeCells>
  <conditionalFormatting sqref="C5:D29">
    <cfRule type="cellIs" dxfId="6" priority="1" operator="equal">
      <formula>"X"</formula>
    </cfRule>
  </conditionalFormatting>
  <conditionalFormatting sqref="E5:E30">
    <cfRule type="cellIs" dxfId="5" priority="2" operator="equal">
      <formula>"X"</formula>
    </cfRule>
  </conditionalFormatting>
  <conditionalFormatting sqref="F6:F31">
    <cfRule type="cellIs" dxfId="4" priority="3" operator="equal">
      <formula>"X"</formula>
    </cfRule>
  </conditionalFormatting>
  <conditionalFormatting sqref="G30:G31">
    <cfRule type="cellIs" dxfId="3" priority="4" operator="equal">
      <formula>"X"</formula>
    </cfRule>
  </conditionalFormatting>
  <conditionalFormatting sqref="G5:H29">
    <cfRule type="cellIs" dxfId="2" priority="5" operator="equal">
      <formula>"X"</formula>
    </cfRule>
  </conditionalFormatting>
  <conditionalFormatting sqref="I5:J30">
    <cfRule type="cellIs" dxfId="1" priority="6" operator="equal">
      <formula>"X"</formula>
    </cfRule>
  </conditionalFormatting>
  <conditionalFormatting sqref="K5:L29">
    <cfRule type="cellIs" dxfId="0" priority="7" operator="equal">
      <formula>"X"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2.7109375" customWidth="1"/>
    <col min="4" max="26" width="11.42578125" customWidth="1"/>
  </cols>
  <sheetData>
    <row r="1" spans="2:3">
      <c r="B1" s="50" t="s">
        <v>55</v>
      </c>
      <c r="C1" s="50" t="s">
        <v>270</v>
      </c>
    </row>
    <row r="2" spans="2:3" ht="21">
      <c r="B2" s="76" t="s">
        <v>34</v>
      </c>
      <c r="C2" s="50">
        <v>9</v>
      </c>
    </row>
    <row r="3" spans="2:3" ht="29.25">
      <c r="B3" s="76" t="s">
        <v>35</v>
      </c>
      <c r="C3" s="50">
        <v>15</v>
      </c>
    </row>
    <row r="4" spans="2:3">
      <c r="B4" s="77" t="s">
        <v>37</v>
      </c>
      <c r="C4" s="50">
        <v>5</v>
      </c>
    </row>
    <row r="5" spans="2:3" ht="23.25">
      <c r="B5" s="77" t="s">
        <v>38</v>
      </c>
      <c r="C5" s="50">
        <v>1</v>
      </c>
    </row>
    <row r="6" spans="2:3" ht="33">
      <c r="B6" s="78" t="s">
        <v>39</v>
      </c>
      <c r="C6" s="50">
        <v>4</v>
      </c>
    </row>
    <row r="7" spans="2:3" ht="37.5">
      <c r="B7" s="78" t="s">
        <v>40</v>
      </c>
      <c r="C7" s="50">
        <v>3</v>
      </c>
    </row>
    <row r="8" spans="2:3" ht="18.75">
      <c r="B8" s="76" t="s">
        <v>42</v>
      </c>
      <c r="C8" s="50">
        <v>12</v>
      </c>
    </row>
    <row r="9" spans="2:3" ht="18.75">
      <c r="B9" s="76" t="s">
        <v>43</v>
      </c>
      <c r="C9" s="50">
        <v>10</v>
      </c>
    </row>
    <row r="10" spans="2:3" ht="17.25">
      <c r="B10" s="76" t="s">
        <v>44</v>
      </c>
      <c r="C10" s="50">
        <v>13</v>
      </c>
    </row>
    <row r="11" spans="2:3">
      <c r="B11" s="76" t="s">
        <v>46</v>
      </c>
      <c r="C11" s="50">
        <v>14</v>
      </c>
    </row>
    <row r="12" spans="2:3" ht="16.5">
      <c r="B12" s="76" t="s">
        <v>47</v>
      </c>
      <c r="C12" s="50">
        <v>7</v>
      </c>
    </row>
    <row r="13" spans="2:3">
      <c r="B13" s="79" t="s">
        <v>49</v>
      </c>
      <c r="C13" s="50">
        <v>11</v>
      </c>
    </row>
    <row r="14" spans="2:3">
      <c r="B14" s="80" t="s">
        <v>50</v>
      </c>
      <c r="C14" s="50">
        <v>11</v>
      </c>
    </row>
    <row r="15" spans="2:3" ht="24.75">
      <c r="B15" s="81" t="s">
        <v>51</v>
      </c>
      <c r="C15" s="50">
        <v>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L21:M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21" spans="12:13" ht="15.75" customHeight="1"/>
    <row r="22" spans="12:13" ht="15.75" customHeight="1"/>
    <row r="23" spans="12:13" ht="15.75" customHeight="1"/>
    <row r="24" spans="12:13" ht="15.75" customHeight="1"/>
    <row r="25" spans="12:13" ht="15.75" customHeight="1"/>
    <row r="26" spans="12:13" ht="15.75" customHeight="1">
      <c r="L26" s="50">
        <v>18</v>
      </c>
      <c r="M26" s="52">
        <f t="shared" ref="M26:M27" si="0">L26/35</f>
        <v>0.51428571428571423</v>
      </c>
    </row>
    <row r="27" spans="12:13" ht="15.75" customHeight="1">
      <c r="L27" s="50">
        <f>35-18</f>
        <v>17</v>
      </c>
      <c r="M27" s="52">
        <f t="shared" si="0"/>
        <v>0.48571428571428571</v>
      </c>
    </row>
    <row r="28" spans="12:13" ht="15.75" customHeight="1"/>
    <row r="29" spans="12:13" ht="15.75" customHeight="1"/>
    <row r="30" spans="12:13" ht="15.75" customHeight="1"/>
    <row r="31" spans="12:13" ht="15.75" customHeight="1"/>
    <row r="32" spans="12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D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3.140625" customWidth="1"/>
    <col min="4" max="26" width="11.42578125" customWidth="1"/>
  </cols>
  <sheetData>
    <row r="3" spans="2:4">
      <c r="B3" s="94" t="s">
        <v>60</v>
      </c>
      <c r="C3" s="94" t="s">
        <v>270</v>
      </c>
      <c r="D3" s="155" t="s">
        <v>23</v>
      </c>
    </row>
    <row r="4" spans="2:4">
      <c r="B4" s="51" t="s">
        <v>2</v>
      </c>
      <c r="C4" s="50">
        <f>COUNTIF('Estadisticas IPERIODO'!$M$5:$M$29,"0")</f>
        <v>11</v>
      </c>
      <c r="D4" s="52">
        <f t="shared" ref="D4:D13" si="0">C4/$C$14</f>
        <v>0.44</v>
      </c>
    </row>
    <row r="5" spans="2:4">
      <c r="B5" s="51" t="s">
        <v>3</v>
      </c>
      <c r="C5" s="50">
        <f>COUNTIF('Estadisticas IPERIODO'!$M$5:$M$29,"1")</f>
        <v>2</v>
      </c>
      <c r="D5" s="52">
        <f t="shared" si="0"/>
        <v>0.08</v>
      </c>
    </row>
    <row r="6" spans="2:4">
      <c r="B6" s="51" t="s">
        <v>4</v>
      </c>
      <c r="C6" s="50">
        <f>COUNTIF('Estadisticas IPERIODO'!$M$5:$M$29,"2")</f>
        <v>3</v>
      </c>
      <c r="D6" s="52">
        <f t="shared" si="0"/>
        <v>0.12</v>
      </c>
    </row>
    <row r="7" spans="2:4">
      <c r="B7" s="51" t="s">
        <v>5</v>
      </c>
      <c r="C7" s="50">
        <f>COUNTIF('Estadisticas IPERIODO'!$M$5:$M$29,"3")</f>
        <v>2</v>
      </c>
      <c r="D7" s="52">
        <f t="shared" si="0"/>
        <v>0.08</v>
      </c>
    </row>
    <row r="8" spans="2:4">
      <c r="B8" s="51" t="s">
        <v>6</v>
      </c>
      <c r="C8" s="50">
        <f>COUNTIF('Estadisticas IPERIODO'!$M$5:$M$29,"4")</f>
        <v>3</v>
      </c>
      <c r="D8" s="52">
        <f t="shared" si="0"/>
        <v>0.12</v>
      </c>
    </row>
    <row r="9" spans="2:4">
      <c r="B9" s="51" t="s">
        <v>7</v>
      </c>
      <c r="C9" s="50">
        <f>COUNTIF('Estadisticas IPERIODO'!$M$5:$M$29,"5")</f>
        <v>3</v>
      </c>
      <c r="D9" s="52">
        <f t="shared" si="0"/>
        <v>0.12</v>
      </c>
    </row>
    <row r="10" spans="2:4">
      <c r="B10" s="51" t="s">
        <v>8</v>
      </c>
      <c r="C10" s="50">
        <f>COUNTIF('Estadisticas IPERIODO'!$M$5:$M$29,"6")</f>
        <v>0</v>
      </c>
      <c r="D10" s="52">
        <f t="shared" si="0"/>
        <v>0</v>
      </c>
    </row>
    <row r="11" spans="2:4">
      <c r="B11" s="51" t="s">
        <v>9</v>
      </c>
      <c r="C11" s="50">
        <f>COUNTIF('Estadisticas IPERIODO'!$M$5:$M$29,"7")</f>
        <v>1</v>
      </c>
      <c r="D11" s="52">
        <f t="shared" si="0"/>
        <v>0.04</v>
      </c>
    </row>
    <row r="12" spans="2:4">
      <c r="B12" s="51" t="s">
        <v>10</v>
      </c>
      <c r="C12" s="50">
        <f>COUNTIF('Estadisticas IPERIODO'!$M$5:$M$29,"8")</f>
        <v>0</v>
      </c>
      <c r="D12" s="52">
        <f t="shared" si="0"/>
        <v>0</v>
      </c>
    </row>
    <row r="13" spans="2:4">
      <c r="B13" s="51" t="s">
        <v>11</v>
      </c>
      <c r="C13" s="50">
        <f>COUNTIF('Estadisticas IPERIODO'!$M$5:$M$29,"9")</f>
        <v>0</v>
      </c>
      <c r="D13" s="52">
        <f t="shared" si="0"/>
        <v>0</v>
      </c>
    </row>
    <row r="14" spans="2:4">
      <c r="C14" s="50">
        <f t="shared" ref="C14:D14" si="1">SUM(C4:C13)</f>
        <v>25</v>
      </c>
      <c r="D14" s="52">
        <f t="shared" si="1"/>
        <v>1</v>
      </c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>
      <c r="A25" s="50" t="s">
        <v>271</v>
      </c>
      <c r="B25" s="50">
        <f>SUM(C4)</f>
        <v>11</v>
      </c>
      <c r="C25" s="52">
        <f t="shared" ref="C25:C26" si="2">B25/$C$14</f>
        <v>0.44</v>
      </c>
    </row>
    <row r="26" spans="1:3" ht="15.75" customHeight="1">
      <c r="A26" s="50" t="s">
        <v>272</v>
      </c>
      <c r="B26" s="50">
        <f>SUM(C5:C13)</f>
        <v>14</v>
      </c>
      <c r="C26" s="52">
        <f t="shared" si="2"/>
        <v>0.56000000000000005</v>
      </c>
    </row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spans="2:3" ht="15.75" customHeight="1"/>
    <row r="34" spans="2:3" ht="15.75" customHeight="1"/>
    <row r="35" spans="2:3" ht="15.75" customHeight="1"/>
    <row r="36" spans="2:3" ht="15.75" customHeight="1"/>
    <row r="37" spans="2:3" ht="15.75" customHeight="1"/>
    <row r="38" spans="2:3" ht="15.75" customHeight="1"/>
    <row r="39" spans="2:3" ht="15.75" customHeight="1"/>
    <row r="40" spans="2:3" ht="15.75" customHeight="1">
      <c r="B40" s="50">
        <f>SUM(C4:C6)</f>
        <v>16</v>
      </c>
      <c r="C40" s="52">
        <f t="shared" ref="C40:C41" si="3">B40/$B$42</f>
        <v>0.64</v>
      </c>
    </row>
    <row r="41" spans="2:3" ht="15.75" customHeight="1">
      <c r="B41" s="50">
        <f>SUM(C7:C13)</f>
        <v>9</v>
      </c>
      <c r="C41" s="52">
        <f t="shared" si="3"/>
        <v>0.36</v>
      </c>
    </row>
    <row r="42" spans="2:3" ht="15.75" customHeight="1">
      <c r="B42" s="50">
        <f>SUM(B40:B41)</f>
        <v>25</v>
      </c>
    </row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customWidth="1"/>
    <col min="6" max="6" width="7.7109375" customWidth="1"/>
    <col min="7" max="7" width="11" customWidth="1"/>
    <col min="8" max="8" width="8.140625" customWidth="1"/>
    <col min="9" max="10" width="8.85546875" customWidth="1"/>
    <col min="11" max="11" width="9.28515625" customWidth="1"/>
    <col min="12" max="13" width="8.28515625" customWidth="1"/>
    <col min="14" max="15" width="7.42578125" customWidth="1"/>
    <col min="16" max="17" width="6.28515625" customWidth="1"/>
    <col min="18" max="18" width="5" customWidth="1"/>
    <col min="19" max="19" width="5.7109375" customWidth="1"/>
    <col min="20" max="20" width="6.7109375" customWidth="1"/>
    <col min="21" max="21" width="5.140625" customWidth="1"/>
    <col min="22" max="22" width="4.85546875" customWidth="1"/>
    <col min="23" max="23" width="3.5703125" hidden="1" customWidth="1"/>
    <col min="24" max="24" width="11.42578125" hidden="1" customWidth="1"/>
    <col min="25" max="25" width="5" hidden="1" customWidth="1"/>
    <col min="26" max="26" width="45.85546875" hidden="1" customWidth="1"/>
    <col min="27" max="27" width="14" hidden="1" customWidth="1"/>
    <col min="28" max="28" width="18" hidden="1" customWidth="1"/>
    <col min="29" max="29" width="11.42578125" hidden="1" customWidth="1"/>
    <col min="30" max="30" width="19.7109375" hidden="1" customWidth="1"/>
    <col min="31" max="31" width="9.85546875" customWidth="1"/>
    <col min="32" max="40" width="11.42578125" customWidth="1"/>
    <col min="41" max="41" width="15.5703125" customWidth="1"/>
    <col min="42" max="61" width="11.42578125" customWidth="1"/>
  </cols>
  <sheetData>
    <row r="1" spans="1:61">
      <c r="A1" s="161" t="s">
        <v>27</v>
      </c>
      <c r="B1" s="162"/>
      <c r="C1" s="19" t="s">
        <v>28</v>
      </c>
      <c r="D1" s="19"/>
      <c r="E1" s="163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  <c r="W1" s="166" t="s">
        <v>29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</row>
    <row r="2" spans="1:61" ht="100.5">
      <c r="A2" s="21" t="s">
        <v>30</v>
      </c>
      <c r="B2" s="22" t="s">
        <v>31</v>
      </c>
      <c r="C2" s="23" t="s">
        <v>32</v>
      </c>
      <c r="D2" s="24" t="s">
        <v>33</v>
      </c>
      <c r="E2" s="25" t="s">
        <v>34</v>
      </c>
      <c r="F2" s="25" t="s">
        <v>35</v>
      </c>
      <c r="G2" s="24" t="s">
        <v>36</v>
      </c>
      <c r="H2" s="26" t="s">
        <v>37</v>
      </c>
      <c r="I2" s="26" t="s">
        <v>38</v>
      </c>
      <c r="J2" s="27" t="s">
        <v>39</v>
      </c>
      <c r="K2" s="27" t="s">
        <v>40</v>
      </c>
      <c r="L2" s="24" t="s">
        <v>41</v>
      </c>
      <c r="M2" s="25" t="s">
        <v>42</v>
      </c>
      <c r="N2" s="25" t="s">
        <v>43</v>
      </c>
      <c r="O2" s="25" t="s">
        <v>44</v>
      </c>
      <c r="P2" s="24" t="s">
        <v>45</v>
      </c>
      <c r="Q2" s="25" t="s">
        <v>46</v>
      </c>
      <c r="R2" s="25" t="s">
        <v>47</v>
      </c>
      <c r="S2" s="24" t="s">
        <v>48</v>
      </c>
      <c r="T2" s="28" t="s">
        <v>49</v>
      </c>
      <c r="U2" s="29" t="s">
        <v>50</v>
      </c>
      <c r="V2" s="30" t="s">
        <v>51</v>
      </c>
      <c r="W2" s="167"/>
      <c r="X2" s="31" t="s">
        <v>52</v>
      </c>
      <c r="Y2" s="32" t="s">
        <v>53</v>
      </c>
      <c r="Z2" s="33" t="s">
        <v>54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>
      <c r="A3" s="34"/>
      <c r="B3" s="34"/>
      <c r="C3" s="35"/>
      <c r="D3" s="36">
        <v>1</v>
      </c>
      <c r="E3" s="37">
        <v>1</v>
      </c>
      <c r="F3" s="37">
        <v>1</v>
      </c>
      <c r="G3" s="37">
        <v>1</v>
      </c>
      <c r="H3" s="37">
        <v>1</v>
      </c>
      <c r="I3" s="37">
        <v>1</v>
      </c>
      <c r="J3" s="37">
        <v>1</v>
      </c>
      <c r="K3" s="37">
        <v>1</v>
      </c>
      <c r="L3" s="37">
        <v>1</v>
      </c>
      <c r="M3" s="37">
        <v>1</v>
      </c>
      <c r="N3" s="37">
        <v>1</v>
      </c>
      <c r="O3" s="37">
        <v>1</v>
      </c>
      <c r="P3" s="37">
        <v>1</v>
      </c>
      <c r="Q3" s="37">
        <v>1</v>
      </c>
      <c r="R3" s="37">
        <v>1</v>
      </c>
      <c r="S3" s="37">
        <v>1</v>
      </c>
      <c r="T3" s="37">
        <v>1</v>
      </c>
      <c r="U3" s="37">
        <v>1</v>
      </c>
      <c r="V3" s="37">
        <v>1</v>
      </c>
      <c r="W3" s="168"/>
      <c r="X3" s="38"/>
      <c r="Y3" s="38"/>
      <c r="Z3" s="38"/>
      <c r="AA3" s="20"/>
      <c r="AB3" s="20"/>
      <c r="AC3" s="20"/>
      <c r="AD3" s="20"/>
      <c r="AE3" s="20"/>
      <c r="AF3" s="20" t="s">
        <v>55</v>
      </c>
      <c r="AG3" s="20" t="s">
        <v>56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.75">
      <c r="A4" s="39">
        <v>1</v>
      </c>
      <c r="B4" s="40"/>
      <c r="C4" s="41" t="s">
        <v>57</v>
      </c>
      <c r="D4" s="42"/>
      <c r="E4" s="34" t="s">
        <v>58</v>
      </c>
      <c r="F4" s="34" t="s">
        <v>58</v>
      </c>
      <c r="G4" s="42"/>
      <c r="H4" s="34" t="s">
        <v>58</v>
      </c>
      <c r="I4" s="34" t="s">
        <v>58</v>
      </c>
      <c r="J4" s="42"/>
      <c r="K4" s="42"/>
      <c r="L4" s="42"/>
      <c r="M4" s="34"/>
      <c r="N4" s="34" t="s">
        <v>58</v>
      </c>
      <c r="O4" s="34"/>
      <c r="P4" s="42"/>
      <c r="Q4" s="34" t="s">
        <v>58</v>
      </c>
      <c r="R4" s="34" t="s">
        <v>58</v>
      </c>
      <c r="S4" s="42"/>
      <c r="T4" s="34" t="s">
        <v>58</v>
      </c>
      <c r="U4" s="34"/>
      <c r="V4" s="42"/>
      <c r="W4" s="43">
        <f t="shared" ref="W4:W16" si="0">COUNTIF(D4:V4,"X")-X4</f>
        <v>8</v>
      </c>
      <c r="X4" s="38">
        <f t="shared" ref="X4:X40" si="1">COUNTA(D4,G4,L4,P4,S4)</f>
        <v>0</v>
      </c>
      <c r="Y4" s="38">
        <f t="shared" ref="Y4:Y40" si="2">COUNTA(J4,K4,V4)</f>
        <v>0</v>
      </c>
      <c r="Z4" s="38" t="str">
        <f t="shared" ref="Z4:Z40" si="3"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20">
        <f t="shared" ref="AA4:AA40" si="4">X4+Y4</f>
        <v>0</v>
      </c>
      <c r="AB4" s="20"/>
      <c r="AC4" s="20"/>
      <c r="AD4" s="20"/>
      <c r="AE4" s="20"/>
      <c r="AF4" s="20">
        <f t="shared" ref="AF4:AF41" si="5">COUNTIF(D4:V4,"X")</f>
        <v>8</v>
      </c>
      <c r="AG4" s="20">
        <v>3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</row>
    <row r="5" spans="1:61" ht="15.75">
      <c r="A5" s="44">
        <v>2</v>
      </c>
      <c r="B5" s="45"/>
      <c r="C5" s="46" t="s">
        <v>59</v>
      </c>
      <c r="D5" s="42"/>
      <c r="E5" s="34"/>
      <c r="F5" s="34"/>
      <c r="G5" s="42"/>
      <c r="H5" s="34"/>
      <c r="I5" s="34"/>
      <c r="J5" s="42"/>
      <c r="K5" s="42"/>
      <c r="L5" s="42"/>
      <c r="M5" s="34"/>
      <c r="N5" s="34"/>
      <c r="O5" s="34"/>
      <c r="P5" s="42"/>
      <c r="Q5" s="34"/>
      <c r="R5" s="34" t="s">
        <v>58</v>
      </c>
      <c r="S5" s="42"/>
      <c r="T5" s="34"/>
      <c r="U5" s="34"/>
      <c r="V5" s="42"/>
      <c r="W5" s="43">
        <f t="shared" si="0"/>
        <v>1</v>
      </c>
      <c r="X5" s="38">
        <f t="shared" si="1"/>
        <v>0</v>
      </c>
      <c r="Y5" s="38">
        <f t="shared" si="2"/>
        <v>0</v>
      </c>
      <c r="Z5" s="38" t="str">
        <f t="shared" si="3"/>
        <v>Felicitaciones por el buen rendimiento Académico</v>
      </c>
      <c r="AA5" s="20">
        <f t="shared" si="4"/>
        <v>0</v>
      </c>
      <c r="AB5" s="20"/>
      <c r="AC5" s="47" t="s">
        <v>60</v>
      </c>
      <c r="AD5" s="47" t="s">
        <v>61</v>
      </c>
      <c r="AE5" s="20"/>
      <c r="AF5" s="20">
        <f t="shared" si="5"/>
        <v>1</v>
      </c>
      <c r="AG5" s="20">
        <v>1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</row>
    <row r="6" spans="1:61" ht="15.75">
      <c r="A6" s="44">
        <v>3</v>
      </c>
      <c r="B6" s="45"/>
      <c r="C6" s="46" t="s">
        <v>62</v>
      </c>
      <c r="D6" s="42"/>
      <c r="E6" s="34"/>
      <c r="F6" s="34" t="s">
        <v>58</v>
      </c>
      <c r="G6" s="42"/>
      <c r="H6" s="34" t="s">
        <v>58</v>
      </c>
      <c r="I6" s="34" t="s">
        <v>58</v>
      </c>
      <c r="J6" s="42"/>
      <c r="K6" s="42"/>
      <c r="L6" s="42"/>
      <c r="M6" s="34"/>
      <c r="N6" s="34" t="s">
        <v>58</v>
      </c>
      <c r="O6" s="34" t="s">
        <v>58</v>
      </c>
      <c r="P6" s="42"/>
      <c r="Q6" s="34"/>
      <c r="R6" s="34" t="s">
        <v>58</v>
      </c>
      <c r="S6" s="42"/>
      <c r="T6" s="34" t="s">
        <v>58</v>
      </c>
      <c r="U6" s="34" t="s">
        <v>58</v>
      </c>
      <c r="V6" s="42"/>
      <c r="W6" s="43">
        <f t="shared" si="0"/>
        <v>8</v>
      </c>
      <c r="X6" s="38">
        <f t="shared" si="1"/>
        <v>0</v>
      </c>
      <c r="Y6" s="38">
        <f t="shared" si="2"/>
        <v>0</v>
      </c>
      <c r="Z6" s="38" t="str">
        <f t="shared" si="3"/>
        <v>Felicitaciones por el buen rendimiento Académico</v>
      </c>
      <c r="AA6" s="20">
        <f t="shared" si="4"/>
        <v>0</v>
      </c>
      <c r="AB6" s="20"/>
      <c r="AC6" s="48" t="s">
        <v>2</v>
      </c>
      <c r="AD6" s="49">
        <f>COUNTIF($AA$4:$AA$40,"0")</f>
        <v>26</v>
      </c>
      <c r="AE6" s="20"/>
      <c r="AF6" s="20">
        <f t="shared" si="5"/>
        <v>8</v>
      </c>
      <c r="AG6" s="20">
        <v>2</v>
      </c>
      <c r="AH6" s="20"/>
      <c r="AI6" s="50" t="s">
        <v>63</v>
      </c>
      <c r="AJ6" s="50" t="s">
        <v>64</v>
      </c>
      <c r="AK6" s="50" t="s">
        <v>23</v>
      </c>
      <c r="AL6" s="20"/>
      <c r="AM6" s="20"/>
      <c r="AN6" s="1" t="s">
        <v>0</v>
      </c>
      <c r="AO6" s="2" t="s">
        <v>1</v>
      </c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</row>
    <row r="7" spans="1:61" ht="15.75">
      <c r="A7" s="44">
        <v>4</v>
      </c>
      <c r="B7" s="45"/>
      <c r="C7" s="46" t="s">
        <v>65</v>
      </c>
      <c r="D7" s="42"/>
      <c r="E7" s="34"/>
      <c r="F7" s="34"/>
      <c r="G7" s="42"/>
      <c r="H7" s="34"/>
      <c r="I7" s="34"/>
      <c r="J7" s="42" t="s">
        <v>58</v>
      </c>
      <c r="K7" s="42"/>
      <c r="L7" s="42"/>
      <c r="M7" s="34"/>
      <c r="N7" s="34" t="s">
        <v>58</v>
      </c>
      <c r="O7" s="34" t="s">
        <v>58</v>
      </c>
      <c r="P7" s="42"/>
      <c r="Q7" s="34"/>
      <c r="R7" s="34"/>
      <c r="S7" s="42"/>
      <c r="T7" s="34" t="s">
        <v>58</v>
      </c>
      <c r="U7" s="34"/>
      <c r="V7" s="42" t="s">
        <v>58</v>
      </c>
      <c r="W7" s="43">
        <f t="shared" si="0"/>
        <v>5</v>
      </c>
      <c r="X7" s="38">
        <f t="shared" si="1"/>
        <v>0</v>
      </c>
      <c r="Y7" s="38">
        <f t="shared" si="2"/>
        <v>2</v>
      </c>
      <c r="Z7" s="38" t="str">
        <f t="shared" si="3"/>
        <v>Tu año esta en riesgo de perderse</v>
      </c>
      <c r="AA7" s="20">
        <f t="shared" si="4"/>
        <v>2</v>
      </c>
      <c r="AB7" s="20"/>
      <c r="AC7" s="48" t="s">
        <v>3</v>
      </c>
      <c r="AD7" s="49">
        <f>COUNTIF($AA$4:$AA$40,"1")</f>
        <v>5</v>
      </c>
      <c r="AE7" s="20"/>
      <c r="AF7" s="20">
        <f t="shared" si="5"/>
        <v>5</v>
      </c>
      <c r="AG7" s="20">
        <v>4</v>
      </c>
      <c r="AH7" s="20"/>
      <c r="AI7" s="51" t="s">
        <v>2</v>
      </c>
      <c r="AJ7" s="50">
        <f>COUNTIF($AG$4:$AG$39,"0")</f>
        <v>11</v>
      </c>
      <c r="AK7" s="52">
        <f t="shared" ref="AK7:AK15" si="6">AJ7/$AJ$17</f>
        <v>0.30555555555555558</v>
      </c>
      <c r="AL7" s="20"/>
      <c r="AM7" s="20"/>
      <c r="AN7" s="3" t="s">
        <v>2</v>
      </c>
      <c r="AO7" s="4">
        <f>COUNTIF($AF$4:$AF$40,"0")</f>
        <v>7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</row>
    <row r="8" spans="1:61" ht="15.75">
      <c r="A8" s="44">
        <v>5</v>
      </c>
      <c r="B8" s="45"/>
      <c r="C8" s="46" t="s">
        <v>66</v>
      </c>
      <c r="D8" s="42"/>
      <c r="E8" s="34"/>
      <c r="F8" s="34"/>
      <c r="G8" s="42"/>
      <c r="H8" s="34"/>
      <c r="I8" s="34"/>
      <c r="J8" s="42" t="s">
        <v>58</v>
      </c>
      <c r="K8" s="42"/>
      <c r="L8" s="42"/>
      <c r="M8" s="34"/>
      <c r="N8" s="34" t="s">
        <v>58</v>
      </c>
      <c r="O8" s="34" t="s">
        <v>58</v>
      </c>
      <c r="P8" s="42"/>
      <c r="Q8" s="34"/>
      <c r="R8" s="34"/>
      <c r="S8" s="42"/>
      <c r="T8" s="34"/>
      <c r="U8" s="34" t="s">
        <v>58</v>
      </c>
      <c r="V8" s="42" t="s">
        <v>58</v>
      </c>
      <c r="W8" s="43">
        <f t="shared" si="0"/>
        <v>5</v>
      </c>
      <c r="X8" s="38">
        <f t="shared" si="1"/>
        <v>0</v>
      </c>
      <c r="Y8" s="38">
        <f t="shared" si="2"/>
        <v>2</v>
      </c>
      <c r="Z8" s="38" t="str">
        <f t="shared" si="3"/>
        <v>Tu año esta en riesgo de perderse</v>
      </c>
      <c r="AA8" s="20">
        <f t="shared" si="4"/>
        <v>2</v>
      </c>
      <c r="AB8" s="20"/>
      <c r="AC8" s="48" t="s">
        <v>4</v>
      </c>
      <c r="AD8" s="49">
        <f>COUNTIF($AA$4:$AA$40,"2")</f>
        <v>4</v>
      </c>
      <c r="AE8" s="20"/>
      <c r="AF8" s="20">
        <f t="shared" si="5"/>
        <v>5</v>
      </c>
      <c r="AG8" s="20">
        <v>3</v>
      </c>
      <c r="AH8" s="20"/>
      <c r="AI8" s="51" t="s">
        <v>3</v>
      </c>
      <c r="AJ8" s="50">
        <f>COUNTIF($AG$4:$AG$39,"1")</f>
        <v>10</v>
      </c>
      <c r="AK8" s="52">
        <f t="shared" si="6"/>
        <v>0.27777777777777779</v>
      </c>
      <c r="AL8" s="20"/>
      <c r="AM8" s="20"/>
      <c r="AN8" s="3" t="s">
        <v>3</v>
      </c>
      <c r="AO8" s="4">
        <f>COUNTIF($AF$4:$AF$40,"1")</f>
        <v>4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spans="1:61" ht="15.75">
      <c r="A9" s="44">
        <v>6</v>
      </c>
      <c r="B9" s="45"/>
      <c r="C9" s="46" t="s">
        <v>67</v>
      </c>
      <c r="D9" s="42"/>
      <c r="E9" s="34"/>
      <c r="F9" s="34"/>
      <c r="G9" s="42"/>
      <c r="H9" s="34"/>
      <c r="I9" s="34"/>
      <c r="J9" s="42"/>
      <c r="K9" s="42"/>
      <c r="L9" s="42"/>
      <c r="M9" s="34"/>
      <c r="N9" s="34"/>
      <c r="O9" s="34"/>
      <c r="P9" s="42"/>
      <c r="Q9" s="34"/>
      <c r="R9" s="34"/>
      <c r="S9" s="42"/>
      <c r="T9" s="34"/>
      <c r="U9" s="34"/>
      <c r="V9" s="42"/>
      <c r="W9" s="43">
        <f t="shared" si="0"/>
        <v>0</v>
      </c>
      <c r="X9" s="38">
        <f t="shared" si="1"/>
        <v>0</v>
      </c>
      <c r="Y9" s="38">
        <f t="shared" si="2"/>
        <v>0</v>
      </c>
      <c r="Z9" s="38" t="str">
        <f t="shared" si="3"/>
        <v>Felicitaciones por el buen rendimiento Académico</v>
      </c>
      <c r="AA9" s="20">
        <f t="shared" si="4"/>
        <v>0</v>
      </c>
      <c r="AB9" s="20"/>
      <c r="AC9" s="48" t="s">
        <v>5</v>
      </c>
      <c r="AD9" s="49">
        <f>COUNTIF($AA$4:$AA$40,"3")</f>
        <v>2</v>
      </c>
      <c r="AE9" s="20"/>
      <c r="AF9" s="20">
        <f t="shared" si="5"/>
        <v>0</v>
      </c>
      <c r="AG9" s="20">
        <v>0</v>
      </c>
      <c r="AH9" s="20"/>
      <c r="AI9" s="51" t="s">
        <v>4</v>
      </c>
      <c r="AJ9" s="50">
        <f>COUNTIF($AG$4:$AG$39,"2")</f>
        <v>6</v>
      </c>
      <c r="AK9" s="52">
        <f t="shared" si="6"/>
        <v>0.16666666666666666</v>
      </c>
      <c r="AL9" s="20"/>
      <c r="AM9" s="20"/>
      <c r="AN9" s="3" t="s">
        <v>4</v>
      </c>
      <c r="AO9" s="4">
        <f>COUNTIF($AF$4:$AF$40,"2")</f>
        <v>4</v>
      </c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61" ht="15.75">
      <c r="A10" s="44">
        <v>7</v>
      </c>
      <c r="B10" s="45"/>
      <c r="C10" s="46" t="s">
        <v>68</v>
      </c>
      <c r="D10" s="42"/>
      <c r="E10" s="34"/>
      <c r="F10" s="34" t="s">
        <v>58</v>
      </c>
      <c r="G10" s="42"/>
      <c r="H10" s="34"/>
      <c r="I10" s="34"/>
      <c r="J10" s="42"/>
      <c r="K10" s="42"/>
      <c r="L10" s="42"/>
      <c r="M10" s="34"/>
      <c r="N10" s="34"/>
      <c r="O10" s="34"/>
      <c r="P10" s="42"/>
      <c r="Q10" s="34"/>
      <c r="R10" s="34"/>
      <c r="S10" s="42"/>
      <c r="T10" s="34"/>
      <c r="U10" s="34"/>
      <c r="V10" s="42"/>
      <c r="W10" s="43">
        <f t="shared" si="0"/>
        <v>1</v>
      </c>
      <c r="X10" s="38">
        <f t="shared" si="1"/>
        <v>0</v>
      </c>
      <c r="Y10" s="38">
        <f t="shared" si="2"/>
        <v>0</v>
      </c>
      <c r="Z10" s="38" t="str">
        <f t="shared" si="3"/>
        <v>Felicitaciones por el buen rendimiento Académico</v>
      </c>
      <c r="AA10" s="20">
        <f t="shared" si="4"/>
        <v>0</v>
      </c>
      <c r="AB10" s="20"/>
      <c r="AC10" s="48" t="s">
        <v>6</v>
      </c>
      <c r="AD10" s="49">
        <f>COUNTIF($AA$4:$AA$40,"4")</f>
        <v>0</v>
      </c>
      <c r="AE10" s="20"/>
      <c r="AF10" s="20">
        <f t="shared" si="5"/>
        <v>1</v>
      </c>
      <c r="AG10" s="20">
        <v>0</v>
      </c>
      <c r="AH10" s="20"/>
      <c r="AI10" s="51" t="s">
        <v>5</v>
      </c>
      <c r="AJ10" s="50">
        <f>COUNTIF($AG$4:$AG$39,"3")</f>
        <v>3</v>
      </c>
      <c r="AK10" s="52">
        <f t="shared" si="6"/>
        <v>8.3333333333333329E-2</v>
      </c>
      <c r="AL10" s="20"/>
      <c r="AM10" s="20"/>
      <c r="AN10" s="3" t="s">
        <v>5</v>
      </c>
      <c r="AO10" s="4">
        <f>COUNTIF($AF$4:$AF$40,"3")</f>
        <v>3</v>
      </c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</row>
    <row r="11" spans="1:61" ht="15.75">
      <c r="A11" s="44">
        <v>8</v>
      </c>
      <c r="B11" s="45"/>
      <c r="C11" s="46" t="s">
        <v>69</v>
      </c>
      <c r="D11" s="42"/>
      <c r="E11" s="34" t="s">
        <v>58</v>
      </c>
      <c r="F11" s="34" t="s">
        <v>58</v>
      </c>
      <c r="G11" s="42"/>
      <c r="H11" s="34" t="s">
        <v>58</v>
      </c>
      <c r="I11" s="34" t="s">
        <v>58</v>
      </c>
      <c r="J11" s="42"/>
      <c r="K11" s="42" t="s">
        <v>58</v>
      </c>
      <c r="L11" s="42"/>
      <c r="M11" s="34"/>
      <c r="N11" s="34" t="s">
        <v>58</v>
      </c>
      <c r="O11" s="34" t="s">
        <v>58</v>
      </c>
      <c r="P11" s="42"/>
      <c r="Q11" s="34" t="s">
        <v>58</v>
      </c>
      <c r="R11" s="34" t="s">
        <v>58</v>
      </c>
      <c r="S11" s="42"/>
      <c r="T11" s="34"/>
      <c r="U11" s="34" t="s">
        <v>58</v>
      </c>
      <c r="V11" s="42" t="s">
        <v>58</v>
      </c>
      <c r="W11" s="43">
        <f t="shared" si="0"/>
        <v>11</v>
      </c>
      <c r="X11" s="38">
        <f t="shared" si="1"/>
        <v>0</v>
      </c>
      <c r="Y11" s="38">
        <f t="shared" si="2"/>
        <v>2</v>
      </c>
      <c r="Z11" s="38" t="str">
        <f t="shared" si="3"/>
        <v>Tu año esta en riesgo de perderse</v>
      </c>
      <c r="AA11" s="20">
        <f t="shared" si="4"/>
        <v>2</v>
      </c>
      <c r="AB11" s="20"/>
      <c r="AC11" s="48" t="s">
        <v>7</v>
      </c>
      <c r="AD11" s="49">
        <f>COUNTIF($AA$4:$AA$40,"5")</f>
        <v>0</v>
      </c>
      <c r="AE11" s="20"/>
      <c r="AF11" s="20">
        <f t="shared" si="5"/>
        <v>11</v>
      </c>
      <c r="AG11" s="20">
        <v>5</v>
      </c>
      <c r="AH11" s="20"/>
      <c r="AI11" s="51" t="s">
        <v>6</v>
      </c>
      <c r="AJ11" s="50">
        <f>COUNTIF($AG$4:$AG$39,"4")</f>
        <v>2</v>
      </c>
      <c r="AK11" s="52">
        <f t="shared" si="6"/>
        <v>5.5555555555555552E-2</v>
      </c>
      <c r="AL11" s="20"/>
      <c r="AM11" s="20"/>
      <c r="AN11" s="3" t="s">
        <v>6</v>
      </c>
      <c r="AO11" s="4">
        <f>COUNTIF($AF$4:$AF$40,"4")</f>
        <v>3</v>
      </c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</row>
    <row r="12" spans="1:61" ht="15.75">
      <c r="A12" s="44">
        <v>9</v>
      </c>
      <c r="B12" s="45"/>
      <c r="C12" s="46" t="s">
        <v>70</v>
      </c>
      <c r="D12" s="42"/>
      <c r="E12" s="34"/>
      <c r="F12" s="34" t="s">
        <v>58</v>
      </c>
      <c r="G12" s="42"/>
      <c r="H12" s="34"/>
      <c r="I12" s="34"/>
      <c r="J12" s="42"/>
      <c r="K12" s="42"/>
      <c r="L12" s="42"/>
      <c r="M12" s="34"/>
      <c r="N12" s="34"/>
      <c r="O12" s="34" t="s">
        <v>58</v>
      </c>
      <c r="P12" s="42"/>
      <c r="Q12" s="34"/>
      <c r="R12" s="34"/>
      <c r="S12" s="42"/>
      <c r="T12" s="34"/>
      <c r="U12" s="34"/>
      <c r="V12" s="42"/>
      <c r="W12" s="43">
        <f t="shared" si="0"/>
        <v>2</v>
      </c>
      <c r="X12" s="38">
        <f t="shared" si="1"/>
        <v>0</v>
      </c>
      <c r="Y12" s="38">
        <f t="shared" si="2"/>
        <v>0</v>
      </c>
      <c r="Z12" s="38" t="str">
        <f t="shared" si="3"/>
        <v>Felicitaciones por el buen rendimiento Académico</v>
      </c>
      <c r="AA12" s="20">
        <f t="shared" si="4"/>
        <v>0</v>
      </c>
      <c r="AB12" s="20"/>
      <c r="AC12" s="48" t="s">
        <v>8</v>
      </c>
      <c r="AD12" s="49">
        <f>COUNTIF($AA$4:$AA$40,"6")</f>
        <v>0</v>
      </c>
      <c r="AE12" s="20"/>
      <c r="AF12" s="20">
        <f t="shared" si="5"/>
        <v>2</v>
      </c>
      <c r="AG12" s="20">
        <v>0</v>
      </c>
      <c r="AH12" s="20"/>
      <c r="AI12" s="51" t="s">
        <v>7</v>
      </c>
      <c r="AJ12" s="50">
        <f>COUNTIF($AG$4:$AG$39,"5")</f>
        <v>3</v>
      </c>
      <c r="AK12" s="52">
        <f t="shared" si="6"/>
        <v>8.3333333333333329E-2</v>
      </c>
      <c r="AL12" s="20"/>
      <c r="AM12" s="20"/>
      <c r="AN12" s="3" t="s">
        <v>7</v>
      </c>
      <c r="AO12" s="4">
        <f>COUNTIF($AF$4:$AF$40,"5")</f>
        <v>7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</row>
    <row r="13" spans="1:61" ht="15.75">
      <c r="A13" s="44">
        <v>10</v>
      </c>
      <c r="B13" s="45"/>
      <c r="C13" s="46" t="s">
        <v>71</v>
      </c>
      <c r="D13" s="42"/>
      <c r="E13" s="34"/>
      <c r="F13" s="34"/>
      <c r="G13" s="42"/>
      <c r="H13" s="34"/>
      <c r="I13" s="34"/>
      <c r="J13" s="42"/>
      <c r="K13" s="42"/>
      <c r="L13" s="42"/>
      <c r="M13" s="34"/>
      <c r="N13" s="34"/>
      <c r="O13" s="34"/>
      <c r="P13" s="42"/>
      <c r="Q13" s="34"/>
      <c r="R13" s="34"/>
      <c r="S13" s="42"/>
      <c r="T13" s="34"/>
      <c r="U13" s="34"/>
      <c r="V13" s="42"/>
      <c r="W13" s="43">
        <f t="shared" si="0"/>
        <v>0</v>
      </c>
      <c r="X13" s="38">
        <f t="shared" si="1"/>
        <v>0</v>
      </c>
      <c r="Y13" s="38">
        <f t="shared" si="2"/>
        <v>0</v>
      </c>
      <c r="Z13" s="38" t="str">
        <f t="shared" si="3"/>
        <v>Felicitaciones por el buen rendimiento Académico</v>
      </c>
      <c r="AA13" s="20">
        <f t="shared" si="4"/>
        <v>0</v>
      </c>
      <c r="AB13" s="20"/>
      <c r="AC13" s="48" t="s">
        <v>9</v>
      </c>
      <c r="AD13" s="49">
        <f>COUNTIF($AA$4:$AA$40,"7")</f>
        <v>0</v>
      </c>
      <c r="AE13" s="20"/>
      <c r="AF13" s="20">
        <f t="shared" si="5"/>
        <v>0</v>
      </c>
      <c r="AG13" s="20">
        <v>0</v>
      </c>
      <c r="AH13" s="20"/>
      <c r="AI13" s="51" t="s">
        <v>8</v>
      </c>
      <c r="AJ13" s="50">
        <f>COUNTIF($AG$4:$AG$39,"6")</f>
        <v>0</v>
      </c>
      <c r="AK13" s="52">
        <f t="shared" si="6"/>
        <v>0</v>
      </c>
      <c r="AL13" s="20"/>
      <c r="AM13" s="20"/>
      <c r="AN13" s="3" t="s">
        <v>8</v>
      </c>
      <c r="AO13" s="4">
        <f>COUNTIF($AF$4:$AF$40,"6")</f>
        <v>1</v>
      </c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</row>
    <row r="14" spans="1:61" ht="15.75">
      <c r="A14" s="44">
        <v>11</v>
      </c>
      <c r="B14" s="45"/>
      <c r="C14" s="46" t="s">
        <v>72</v>
      </c>
      <c r="D14" s="42"/>
      <c r="E14" s="34"/>
      <c r="F14" s="34"/>
      <c r="G14" s="42"/>
      <c r="H14" s="34"/>
      <c r="I14" s="34"/>
      <c r="J14" s="42"/>
      <c r="K14" s="42"/>
      <c r="L14" s="42"/>
      <c r="M14" s="34"/>
      <c r="N14" s="34"/>
      <c r="O14" s="34"/>
      <c r="P14" s="42"/>
      <c r="Q14" s="34"/>
      <c r="R14" s="34"/>
      <c r="S14" s="42"/>
      <c r="T14" s="34"/>
      <c r="U14" s="34"/>
      <c r="V14" s="42"/>
      <c r="W14" s="43">
        <f t="shared" si="0"/>
        <v>0</v>
      </c>
      <c r="X14" s="38">
        <f t="shared" si="1"/>
        <v>0</v>
      </c>
      <c r="Y14" s="38">
        <f t="shared" si="2"/>
        <v>0</v>
      </c>
      <c r="Z14" s="38" t="str">
        <f t="shared" si="3"/>
        <v>Felicitaciones por el buen rendimiento Académico</v>
      </c>
      <c r="AA14" s="20">
        <f t="shared" si="4"/>
        <v>0</v>
      </c>
      <c r="AB14" s="20"/>
      <c r="AC14" s="48" t="s">
        <v>10</v>
      </c>
      <c r="AD14" s="49">
        <f>COUNTIF($AA$4:$AA$40,"8")</f>
        <v>0</v>
      </c>
      <c r="AE14" s="20"/>
      <c r="AF14" s="20">
        <f t="shared" si="5"/>
        <v>0</v>
      </c>
      <c r="AG14" s="20">
        <v>0</v>
      </c>
      <c r="AH14" s="20"/>
      <c r="AI14" s="51" t="s">
        <v>9</v>
      </c>
      <c r="AJ14" s="50">
        <f>COUNTIF($AG$4:$AG$39,"7")</f>
        <v>1</v>
      </c>
      <c r="AK14" s="52">
        <f t="shared" si="6"/>
        <v>2.7777777777777776E-2</v>
      </c>
      <c r="AL14" s="20"/>
      <c r="AM14" s="20"/>
      <c r="AN14" s="3" t="s">
        <v>9</v>
      </c>
      <c r="AO14" s="4">
        <f>COUNTIF($AF$4:$AF$40,"7")</f>
        <v>1</v>
      </c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</row>
    <row r="15" spans="1:61" ht="15.75">
      <c r="A15" s="44">
        <v>12</v>
      </c>
      <c r="B15" s="45"/>
      <c r="C15" s="46" t="s">
        <v>73</v>
      </c>
      <c r="D15" s="42"/>
      <c r="E15" s="34"/>
      <c r="F15" s="34" t="s">
        <v>58</v>
      </c>
      <c r="G15" s="42"/>
      <c r="H15" s="34"/>
      <c r="I15" s="34"/>
      <c r="J15" s="42"/>
      <c r="K15" s="42"/>
      <c r="L15" s="42"/>
      <c r="M15" s="34"/>
      <c r="N15" s="34"/>
      <c r="O15" s="34" t="s">
        <v>58</v>
      </c>
      <c r="P15" s="42"/>
      <c r="Q15" s="34"/>
      <c r="R15" s="34" t="s">
        <v>58</v>
      </c>
      <c r="S15" s="42"/>
      <c r="T15" s="34"/>
      <c r="U15" s="34"/>
      <c r="V15" s="42"/>
      <c r="W15" s="43">
        <f t="shared" si="0"/>
        <v>3</v>
      </c>
      <c r="X15" s="38">
        <f t="shared" si="1"/>
        <v>0</v>
      </c>
      <c r="Y15" s="38">
        <f t="shared" si="2"/>
        <v>0</v>
      </c>
      <c r="Z15" s="38" t="str">
        <f t="shared" si="3"/>
        <v>Felicitaciones por el buen rendimiento Académico</v>
      </c>
      <c r="AA15" s="20">
        <f t="shared" si="4"/>
        <v>0</v>
      </c>
      <c r="AB15" s="20"/>
      <c r="AC15" s="53"/>
      <c r="AD15" s="20"/>
      <c r="AE15" s="20"/>
      <c r="AF15" s="20">
        <f t="shared" si="5"/>
        <v>3</v>
      </c>
      <c r="AG15" s="20">
        <v>1</v>
      </c>
      <c r="AH15" s="20"/>
      <c r="AI15" s="51" t="s">
        <v>10</v>
      </c>
      <c r="AJ15" s="50">
        <f>COUNTIF($AG$4:$AG$39,"8")</f>
        <v>0</v>
      </c>
      <c r="AK15" s="52">
        <f t="shared" si="6"/>
        <v>0</v>
      </c>
      <c r="AL15" s="20"/>
      <c r="AM15" s="20"/>
      <c r="AN15" s="3" t="s">
        <v>10</v>
      </c>
      <c r="AO15" s="4">
        <f>COUNTIF($AF$4:$AF$40,"8")</f>
        <v>2</v>
      </c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</row>
    <row r="16" spans="1:61">
      <c r="A16" s="44">
        <v>13</v>
      </c>
      <c r="B16" s="45"/>
      <c r="C16" s="46" t="s">
        <v>74</v>
      </c>
      <c r="D16" s="42"/>
      <c r="E16" s="34" t="s">
        <v>58</v>
      </c>
      <c r="F16" s="34"/>
      <c r="G16" s="42"/>
      <c r="H16" s="34" t="s">
        <v>58</v>
      </c>
      <c r="I16" s="34" t="s">
        <v>58</v>
      </c>
      <c r="J16" s="42" t="s">
        <v>58</v>
      </c>
      <c r="K16" s="42" t="s">
        <v>58</v>
      </c>
      <c r="L16" s="42"/>
      <c r="M16" s="34"/>
      <c r="N16" s="34"/>
      <c r="O16" s="34" t="s">
        <v>58</v>
      </c>
      <c r="P16" s="42"/>
      <c r="Q16" s="34" t="s">
        <v>58</v>
      </c>
      <c r="R16" s="34" t="s">
        <v>58</v>
      </c>
      <c r="S16" s="42"/>
      <c r="T16" s="34" t="s">
        <v>58</v>
      </c>
      <c r="U16" s="34"/>
      <c r="V16" s="42" t="s">
        <v>58</v>
      </c>
      <c r="W16" s="54">
        <f t="shared" si="0"/>
        <v>10</v>
      </c>
      <c r="X16" s="38">
        <f t="shared" si="1"/>
        <v>0</v>
      </c>
      <c r="Y16" s="38">
        <f t="shared" si="2"/>
        <v>3</v>
      </c>
      <c r="Z16" s="38" t="str">
        <f t="shared" si="3"/>
        <v>Tu año esta en riesgo de perderse</v>
      </c>
      <c r="AA16" s="20">
        <f t="shared" si="4"/>
        <v>3</v>
      </c>
      <c r="AB16" s="20"/>
      <c r="AC16" s="53"/>
      <c r="AD16" s="20"/>
      <c r="AE16" s="20"/>
      <c r="AF16" s="20">
        <f t="shared" si="5"/>
        <v>10</v>
      </c>
      <c r="AG16" s="20">
        <v>5</v>
      </c>
      <c r="AH16" s="20"/>
      <c r="AI16" s="51"/>
      <c r="AK16" s="52"/>
      <c r="AL16" s="20"/>
      <c r="AM16" s="20"/>
      <c r="AN16" s="3" t="s">
        <v>11</v>
      </c>
      <c r="AO16" s="4">
        <f>COUNTIF($AF$4:$AF$40,"9")</f>
        <v>2</v>
      </c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</row>
    <row r="17" spans="1:61">
      <c r="A17" s="44">
        <v>14</v>
      </c>
      <c r="B17" s="45"/>
      <c r="C17" s="55" t="s">
        <v>75</v>
      </c>
      <c r="D17" s="42"/>
      <c r="E17" s="34" t="s">
        <v>58</v>
      </c>
      <c r="F17" s="34" t="s">
        <v>58</v>
      </c>
      <c r="G17" s="42"/>
      <c r="H17" s="34"/>
      <c r="I17" s="34"/>
      <c r="J17" s="42"/>
      <c r="K17" s="42"/>
      <c r="L17" s="42"/>
      <c r="M17" s="34"/>
      <c r="N17" s="34" t="s">
        <v>58</v>
      </c>
      <c r="O17" s="34" t="s">
        <v>58</v>
      </c>
      <c r="P17" s="42"/>
      <c r="Q17" s="34" t="s">
        <v>58</v>
      </c>
      <c r="R17" s="34" t="s">
        <v>58</v>
      </c>
      <c r="S17" s="42"/>
      <c r="T17" s="34" t="s">
        <v>58</v>
      </c>
      <c r="U17" s="34" t="s">
        <v>58</v>
      </c>
      <c r="V17" s="42" t="s">
        <v>58</v>
      </c>
      <c r="W17" s="54"/>
      <c r="X17" s="38">
        <f t="shared" si="1"/>
        <v>0</v>
      </c>
      <c r="Y17" s="38">
        <f t="shared" si="2"/>
        <v>1</v>
      </c>
      <c r="Z17" s="38" t="str">
        <f t="shared" si="3"/>
        <v>Pasas con logros Pendientes</v>
      </c>
      <c r="AA17" s="20">
        <f t="shared" si="4"/>
        <v>1</v>
      </c>
      <c r="AB17" s="20"/>
      <c r="AC17" s="53"/>
      <c r="AD17" s="20"/>
      <c r="AE17" s="20"/>
      <c r="AF17" s="20">
        <f t="shared" si="5"/>
        <v>9</v>
      </c>
      <c r="AG17" s="20">
        <v>5</v>
      </c>
      <c r="AH17" s="20"/>
      <c r="AJ17" s="50">
        <f>SUM(AJ7:AJ16)</f>
        <v>36</v>
      </c>
      <c r="AL17" s="20"/>
      <c r="AM17" s="20"/>
      <c r="AN17" s="3" t="s">
        <v>12</v>
      </c>
      <c r="AO17" s="4">
        <f>COUNTIF($AF$4:$AF$40,"10")</f>
        <v>1</v>
      </c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1:61" ht="15.75">
      <c r="A18" s="44">
        <v>15</v>
      </c>
      <c r="B18" s="45"/>
      <c r="C18" s="46" t="s">
        <v>76</v>
      </c>
      <c r="D18" s="42"/>
      <c r="E18" s="34"/>
      <c r="F18" s="34"/>
      <c r="G18" s="42"/>
      <c r="H18" s="34"/>
      <c r="I18" s="34"/>
      <c r="J18" s="42"/>
      <c r="K18" s="42"/>
      <c r="L18" s="42"/>
      <c r="M18" s="34"/>
      <c r="N18" s="34"/>
      <c r="O18" s="34" t="s">
        <v>58</v>
      </c>
      <c r="P18" s="42"/>
      <c r="Q18" s="34"/>
      <c r="R18" s="34"/>
      <c r="S18" s="42"/>
      <c r="T18" s="34" t="s">
        <v>58</v>
      </c>
      <c r="U18" s="34" t="s">
        <v>58</v>
      </c>
      <c r="V18" s="42"/>
      <c r="W18" s="43">
        <f t="shared" ref="W18:W40" si="7">COUNTIF(D18:V18,"X")-X18</f>
        <v>3</v>
      </c>
      <c r="X18" s="38">
        <f t="shared" si="1"/>
        <v>0</v>
      </c>
      <c r="Y18" s="38">
        <f t="shared" si="2"/>
        <v>0</v>
      </c>
      <c r="Z18" s="38" t="str">
        <f t="shared" si="3"/>
        <v>Felicitaciones por el buen rendimiento Académico</v>
      </c>
      <c r="AA18" s="20">
        <f t="shared" si="4"/>
        <v>0</v>
      </c>
      <c r="AB18" s="20"/>
      <c r="AC18" s="20"/>
      <c r="AD18" s="20"/>
      <c r="AE18" s="20"/>
      <c r="AF18" s="20">
        <f t="shared" si="5"/>
        <v>3</v>
      </c>
      <c r="AG18" s="20">
        <v>1</v>
      </c>
      <c r="AH18" s="20"/>
      <c r="AI18" s="20"/>
      <c r="AJ18" s="20"/>
      <c r="AK18" s="20"/>
      <c r="AL18" s="20"/>
      <c r="AM18" s="20"/>
      <c r="AN18" s="3" t="s">
        <v>13</v>
      </c>
      <c r="AO18" s="4">
        <f>COUNTIF($AF$4:$AF$40,"11")</f>
        <v>2</v>
      </c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</row>
    <row r="19" spans="1:61" ht="15.75">
      <c r="A19" s="44">
        <v>16</v>
      </c>
      <c r="B19" s="45"/>
      <c r="C19" s="46" t="s">
        <v>77</v>
      </c>
      <c r="D19" s="42"/>
      <c r="E19" s="34"/>
      <c r="F19" s="34"/>
      <c r="G19" s="42"/>
      <c r="H19" s="34"/>
      <c r="I19" s="34"/>
      <c r="J19" s="42"/>
      <c r="K19" s="42"/>
      <c r="L19" s="42"/>
      <c r="M19" s="34"/>
      <c r="N19" s="34"/>
      <c r="O19" s="34"/>
      <c r="P19" s="42"/>
      <c r="Q19" s="34"/>
      <c r="R19" s="34"/>
      <c r="S19" s="42"/>
      <c r="T19" s="34"/>
      <c r="U19" s="34"/>
      <c r="V19" s="42" t="s">
        <v>58</v>
      </c>
      <c r="W19" s="43">
        <f t="shared" si="7"/>
        <v>1</v>
      </c>
      <c r="X19" s="38">
        <f t="shared" si="1"/>
        <v>0</v>
      </c>
      <c r="Y19" s="38">
        <f t="shared" si="2"/>
        <v>1</v>
      </c>
      <c r="Z19" s="38" t="str">
        <f t="shared" si="3"/>
        <v>Pasas con logros Pendientes</v>
      </c>
      <c r="AA19" s="20">
        <f t="shared" si="4"/>
        <v>1</v>
      </c>
      <c r="AB19" s="20"/>
      <c r="AC19" s="20"/>
      <c r="AD19" s="20"/>
      <c r="AE19" s="20"/>
      <c r="AF19" s="20">
        <f t="shared" si="5"/>
        <v>1</v>
      </c>
      <c r="AG19" s="20">
        <v>1</v>
      </c>
      <c r="AH19" s="20"/>
      <c r="AI19" s="20"/>
      <c r="AJ19" s="20"/>
      <c r="AK19" s="20"/>
      <c r="AL19" s="20"/>
      <c r="AM19" s="20"/>
      <c r="AN19" s="3" t="s">
        <v>14</v>
      </c>
      <c r="AO19" s="4">
        <f>COUNTIF($AF$4:$AF$40,"12")</f>
        <v>0</v>
      </c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1" ht="15.75">
      <c r="A20" s="44">
        <v>17</v>
      </c>
      <c r="B20" s="45"/>
      <c r="C20" s="46" t="s">
        <v>78</v>
      </c>
      <c r="D20" s="42"/>
      <c r="E20" s="34"/>
      <c r="F20" s="34"/>
      <c r="G20" s="42"/>
      <c r="H20" s="34"/>
      <c r="I20" s="34"/>
      <c r="J20" s="42"/>
      <c r="K20" s="42"/>
      <c r="L20" s="42"/>
      <c r="M20" s="34"/>
      <c r="N20" s="34"/>
      <c r="O20" s="34"/>
      <c r="P20" s="42"/>
      <c r="Q20" s="34"/>
      <c r="R20" s="34"/>
      <c r="S20" s="42"/>
      <c r="T20" s="34"/>
      <c r="U20" s="34"/>
      <c r="V20" s="42"/>
      <c r="W20" s="43">
        <f t="shared" si="7"/>
        <v>0</v>
      </c>
      <c r="X20" s="38">
        <f t="shared" si="1"/>
        <v>0</v>
      </c>
      <c r="Y20" s="38">
        <f t="shared" si="2"/>
        <v>0</v>
      </c>
      <c r="Z20" s="38" t="str">
        <f t="shared" si="3"/>
        <v>Felicitaciones por el buen rendimiento Académico</v>
      </c>
      <c r="AA20" s="20">
        <f t="shared" si="4"/>
        <v>0</v>
      </c>
      <c r="AB20" s="20"/>
      <c r="AC20" s="20"/>
      <c r="AD20" s="20"/>
      <c r="AE20" s="20"/>
      <c r="AF20" s="20">
        <f t="shared" si="5"/>
        <v>0</v>
      </c>
      <c r="AG20" s="20">
        <v>0</v>
      </c>
      <c r="AH20" s="20"/>
      <c r="AI20" s="20"/>
      <c r="AJ20" s="20"/>
      <c r="AK20" s="20"/>
      <c r="AL20" s="20"/>
      <c r="AM20" s="20"/>
      <c r="AN20" s="3" t="s">
        <v>15</v>
      </c>
      <c r="AO20" s="4">
        <f>COUNTIF($AF$4:$AF$40,"13")</f>
        <v>0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.75" customHeight="1">
      <c r="A21" s="44">
        <v>18</v>
      </c>
      <c r="B21" s="45"/>
      <c r="C21" s="46" t="s">
        <v>79</v>
      </c>
      <c r="D21" s="42"/>
      <c r="E21" s="34"/>
      <c r="F21" s="34"/>
      <c r="G21" s="42"/>
      <c r="H21" s="34" t="s">
        <v>80</v>
      </c>
      <c r="I21" s="34" t="s">
        <v>80</v>
      </c>
      <c r="J21" s="42"/>
      <c r="K21" s="42"/>
      <c r="L21" s="42"/>
      <c r="M21" s="34"/>
      <c r="N21" s="34"/>
      <c r="O21" s="34" t="s">
        <v>58</v>
      </c>
      <c r="P21" s="42"/>
      <c r="Q21" s="34" t="s">
        <v>58</v>
      </c>
      <c r="R21" s="34"/>
      <c r="S21" s="42"/>
      <c r="T21" s="34"/>
      <c r="U21" s="34" t="s">
        <v>58</v>
      </c>
      <c r="V21" s="42"/>
      <c r="W21" s="43">
        <f t="shared" si="7"/>
        <v>5</v>
      </c>
      <c r="X21" s="38">
        <f t="shared" si="1"/>
        <v>0</v>
      </c>
      <c r="Y21" s="38">
        <f t="shared" si="2"/>
        <v>0</v>
      </c>
      <c r="Z21" s="38" t="str">
        <f t="shared" si="3"/>
        <v>Felicitaciones por el buen rendimiento Académico</v>
      </c>
      <c r="AA21" s="20">
        <f t="shared" si="4"/>
        <v>0</v>
      </c>
      <c r="AB21" s="20"/>
      <c r="AC21" s="20"/>
      <c r="AD21" s="20"/>
      <c r="AE21" s="20"/>
      <c r="AF21" s="20">
        <f t="shared" si="5"/>
        <v>5</v>
      </c>
      <c r="AG21" s="20">
        <v>0</v>
      </c>
      <c r="AH21" s="20"/>
      <c r="AI21" s="20"/>
      <c r="AJ21" s="20"/>
      <c r="AK21" s="20"/>
      <c r="AL21" s="20"/>
      <c r="AM21" s="20"/>
      <c r="AN21" s="3" t="s">
        <v>16</v>
      </c>
      <c r="AO21" s="4">
        <f>COUNTIF($AF$4:$AF$40,"14")</f>
        <v>0</v>
      </c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</row>
    <row r="22" spans="1:61" ht="15.75" customHeight="1">
      <c r="A22" s="44">
        <v>19</v>
      </c>
      <c r="B22" s="45"/>
      <c r="C22" s="55" t="s">
        <v>81</v>
      </c>
      <c r="D22" s="42"/>
      <c r="E22" s="34" t="s">
        <v>58</v>
      </c>
      <c r="F22" s="34"/>
      <c r="G22" s="42"/>
      <c r="H22" s="34" t="s">
        <v>58</v>
      </c>
      <c r="I22" s="34" t="s">
        <v>58</v>
      </c>
      <c r="J22" s="42" t="s">
        <v>58</v>
      </c>
      <c r="K22" s="42"/>
      <c r="L22" s="42"/>
      <c r="M22" s="34"/>
      <c r="N22" s="34" t="s">
        <v>58</v>
      </c>
      <c r="O22" s="34"/>
      <c r="P22" s="42"/>
      <c r="Q22" s="34" t="s">
        <v>58</v>
      </c>
      <c r="R22" s="34"/>
      <c r="S22" s="42"/>
      <c r="T22" s="34" t="s">
        <v>58</v>
      </c>
      <c r="U22" s="34" t="s">
        <v>58</v>
      </c>
      <c r="V22" s="42" t="s">
        <v>58</v>
      </c>
      <c r="W22" s="43">
        <f t="shared" si="7"/>
        <v>9</v>
      </c>
      <c r="X22" s="38">
        <f t="shared" si="1"/>
        <v>0</v>
      </c>
      <c r="Y22" s="38">
        <f t="shared" si="2"/>
        <v>2</v>
      </c>
      <c r="Z22" s="38" t="str">
        <f t="shared" si="3"/>
        <v>Tu año esta en riesgo de perderse</v>
      </c>
      <c r="AA22" s="20">
        <f t="shared" si="4"/>
        <v>2</v>
      </c>
      <c r="AB22" s="20"/>
      <c r="AC22" s="20"/>
      <c r="AD22" s="20"/>
      <c r="AE22" s="20"/>
      <c r="AF22" s="20">
        <f t="shared" si="5"/>
        <v>9</v>
      </c>
      <c r="AG22" s="20">
        <v>4</v>
      </c>
      <c r="AH22" s="20"/>
      <c r="AI22" s="20"/>
      <c r="AJ22" s="20"/>
      <c r="AK22" s="20"/>
      <c r="AL22" s="20"/>
      <c r="AM22" s="20"/>
      <c r="AN22" s="3"/>
      <c r="AO22" s="4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spans="1:61" ht="15.75" customHeight="1">
      <c r="A23" s="44">
        <v>20</v>
      </c>
      <c r="B23" s="45"/>
      <c r="C23" s="55" t="s">
        <v>82</v>
      </c>
      <c r="D23" s="42"/>
      <c r="E23" s="34"/>
      <c r="F23" s="34" t="s">
        <v>58</v>
      </c>
      <c r="G23" s="42"/>
      <c r="H23" s="34"/>
      <c r="I23" s="34"/>
      <c r="J23" s="42"/>
      <c r="K23" s="42"/>
      <c r="L23" s="42"/>
      <c r="M23" s="34"/>
      <c r="N23" s="34" t="s">
        <v>58</v>
      </c>
      <c r="O23" s="34" t="s">
        <v>58</v>
      </c>
      <c r="P23" s="42"/>
      <c r="Q23" s="34"/>
      <c r="R23" s="34"/>
      <c r="S23" s="42"/>
      <c r="T23" s="34"/>
      <c r="U23" s="34"/>
      <c r="V23" s="42"/>
      <c r="W23" s="43">
        <f t="shared" si="7"/>
        <v>3</v>
      </c>
      <c r="X23" s="38">
        <f t="shared" si="1"/>
        <v>0</v>
      </c>
      <c r="Y23" s="38">
        <f t="shared" si="2"/>
        <v>0</v>
      </c>
      <c r="Z23" s="38" t="str">
        <f t="shared" si="3"/>
        <v>Felicitaciones por el buen rendimiento Académico</v>
      </c>
      <c r="AA23" s="20">
        <f t="shared" si="4"/>
        <v>0</v>
      </c>
      <c r="AB23" s="20"/>
      <c r="AC23" s="20"/>
      <c r="AD23" s="20"/>
      <c r="AE23" s="20"/>
      <c r="AF23" s="20">
        <f t="shared" si="5"/>
        <v>3</v>
      </c>
      <c r="AG23" s="20">
        <v>1</v>
      </c>
      <c r="AH23" s="20"/>
      <c r="AI23" s="20"/>
      <c r="AJ23" s="20"/>
      <c r="AK23" s="20"/>
      <c r="AL23" s="20"/>
      <c r="AM23" s="20"/>
      <c r="AN23" s="3"/>
      <c r="AO23" s="4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</row>
    <row r="24" spans="1:61" ht="15.75" customHeight="1">
      <c r="A24" s="44">
        <v>21</v>
      </c>
      <c r="B24" s="45"/>
      <c r="C24" s="55" t="s">
        <v>83</v>
      </c>
      <c r="D24" s="42"/>
      <c r="E24" s="34"/>
      <c r="F24" s="34" t="s">
        <v>58</v>
      </c>
      <c r="G24" s="42"/>
      <c r="H24" s="34"/>
      <c r="I24" s="34"/>
      <c r="J24" s="42"/>
      <c r="K24" s="42"/>
      <c r="L24" s="42"/>
      <c r="M24" s="34"/>
      <c r="N24" s="34"/>
      <c r="O24" s="34"/>
      <c r="P24" s="42"/>
      <c r="Q24" s="34"/>
      <c r="R24" s="34"/>
      <c r="S24" s="42"/>
      <c r="T24" s="34"/>
      <c r="U24" s="34"/>
      <c r="V24" s="42" t="s">
        <v>58</v>
      </c>
      <c r="W24" s="43">
        <f t="shared" si="7"/>
        <v>2</v>
      </c>
      <c r="X24" s="38">
        <f t="shared" si="1"/>
        <v>0</v>
      </c>
      <c r="Y24" s="38">
        <f t="shared" si="2"/>
        <v>1</v>
      </c>
      <c r="Z24" s="38" t="str">
        <f t="shared" si="3"/>
        <v>Pasas con logros Pendientes</v>
      </c>
      <c r="AA24" s="20">
        <f t="shared" si="4"/>
        <v>1</v>
      </c>
      <c r="AB24" s="20"/>
      <c r="AC24" s="20"/>
      <c r="AD24" s="20"/>
      <c r="AE24" s="20"/>
      <c r="AF24" s="20">
        <f t="shared" si="5"/>
        <v>2</v>
      </c>
      <c r="AG24" s="20">
        <v>1</v>
      </c>
      <c r="AH24" s="20"/>
      <c r="AI24" s="20"/>
      <c r="AJ24" s="20"/>
      <c r="AK24" s="20"/>
      <c r="AL24" s="20"/>
      <c r="AM24" s="20"/>
      <c r="AN24" s="3"/>
      <c r="AO24" s="4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ht="15.75" customHeight="1">
      <c r="A25" s="44">
        <v>22</v>
      </c>
      <c r="B25" s="45"/>
      <c r="C25" s="46" t="s">
        <v>84</v>
      </c>
      <c r="D25" s="42"/>
      <c r="E25" s="34"/>
      <c r="F25" s="34" t="s">
        <v>58</v>
      </c>
      <c r="G25" s="42"/>
      <c r="H25" s="34"/>
      <c r="I25" s="34"/>
      <c r="J25" s="42"/>
      <c r="K25" s="42"/>
      <c r="L25" s="42"/>
      <c r="M25" s="34"/>
      <c r="N25" s="34"/>
      <c r="O25" s="34"/>
      <c r="P25" s="42"/>
      <c r="Q25" s="34"/>
      <c r="R25" s="34"/>
      <c r="S25" s="42"/>
      <c r="T25" s="34"/>
      <c r="U25" s="34"/>
      <c r="V25" s="42"/>
      <c r="W25" s="43">
        <f t="shared" si="7"/>
        <v>1</v>
      </c>
      <c r="X25" s="38">
        <f t="shared" si="1"/>
        <v>0</v>
      </c>
      <c r="Y25" s="38">
        <f t="shared" si="2"/>
        <v>0</v>
      </c>
      <c r="Z25" s="38" t="str">
        <f t="shared" si="3"/>
        <v>Felicitaciones por el buen rendimiento Académico</v>
      </c>
      <c r="AA25" s="20">
        <f t="shared" si="4"/>
        <v>0</v>
      </c>
      <c r="AB25" s="20"/>
      <c r="AC25" s="20"/>
      <c r="AD25" s="20"/>
      <c r="AE25" s="20"/>
      <c r="AF25" s="20">
        <f t="shared" si="5"/>
        <v>1</v>
      </c>
      <c r="AG25" s="20">
        <v>0</v>
      </c>
      <c r="AH25" s="20"/>
      <c r="AI25" s="20"/>
      <c r="AJ25" s="20"/>
      <c r="AK25" s="20"/>
      <c r="AL25" s="20"/>
      <c r="AM25" s="20"/>
      <c r="AN25" s="3"/>
      <c r="AO25" s="4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</row>
    <row r="26" spans="1:61" ht="15.75" customHeight="1">
      <c r="A26" s="44">
        <v>23</v>
      </c>
      <c r="B26" s="45"/>
      <c r="C26" s="46" t="s">
        <v>85</v>
      </c>
      <c r="D26" s="42"/>
      <c r="E26" s="34"/>
      <c r="F26" s="34"/>
      <c r="G26" s="42"/>
      <c r="H26" s="34"/>
      <c r="I26" s="34"/>
      <c r="J26" s="42"/>
      <c r="K26" s="42"/>
      <c r="L26" s="42"/>
      <c r="M26" s="34"/>
      <c r="N26" s="34" t="s">
        <v>58</v>
      </c>
      <c r="O26" s="34" t="s">
        <v>58</v>
      </c>
      <c r="P26" s="42"/>
      <c r="Q26" s="34" t="s">
        <v>58</v>
      </c>
      <c r="R26" s="34" t="s">
        <v>58</v>
      </c>
      <c r="S26" s="42"/>
      <c r="T26" s="34" t="s">
        <v>58</v>
      </c>
      <c r="U26" s="34"/>
      <c r="V26" s="42"/>
      <c r="W26" s="43">
        <f t="shared" si="7"/>
        <v>5</v>
      </c>
      <c r="X26" s="38">
        <f t="shared" si="1"/>
        <v>0</v>
      </c>
      <c r="Y26" s="38">
        <f t="shared" si="2"/>
        <v>0</v>
      </c>
      <c r="Z26" s="38" t="str">
        <f t="shared" si="3"/>
        <v>Felicitaciones por el buen rendimiento Académico</v>
      </c>
      <c r="AA26" s="20">
        <f t="shared" si="4"/>
        <v>0</v>
      </c>
      <c r="AB26" s="20"/>
      <c r="AC26" s="20"/>
      <c r="AD26" s="20"/>
      <c r="AE26" s="20"/>
      <c r="AF26" s="20">
        <f t="shared" si="5"/>
        <v>5</v>
      </c>
      <c r="AG26" s="20">
        <v>3</v>
      </c>
      <c r="AH26" s="20"/>
      <c r="AI26" s="20"/>
      <c r="AJ26" s="20"/>
      <c r="AK26" s="20"/>
      <c r="AL26" s="20"/>
      <c r="AM26" s="20"/>
      <c r="AN26" s="5"/>
      <c r="AO26" s="6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</row>
    <row r="27" spans="1:61" ht="15.75" customHeight="1">
      <c r="A27" s="44">
        <v>24</v>
      </c>
      <c r="B27" s="45"/>
      <c r="C27" s="46" t="s">
        <v>86</v>
      </c>
      <c r="D27" s="42"/>
      <c r="E27" s="34"/>
      <c r="F27" s="34"/>
      <c r="G27" s="42"/>
      <c r="H27" s="34" t="s">
        <v>58</v>
      </c>
      <c r="I27" s="34" t="s">
        <v>58</v>
      </c>
      <c r="J27" s="42"/>
      <c r="K27" s="42"/>
      <c r="L27" s="42"/>
      <c r="M27" s="34"/>
      <c r="N27" s="34"/>
      <c r="O27" s="34"/>
      <c r="P27" s="42"/>
      <c r="Q27" s="34"/>
      <c r="R27" s="34" t="s">
        <v>58</v>
      </c>
      <c r="S27" s="42"/>
      <c r="T27" s="34" t="s">
        <v>58</v>
      </c>
      <c r="U27" s="34" t="s">
        <v>58</v>
      </c>
      <c r="V27" s="42"/>
      <c r="W27" s="43">
        <f t="shared" si="7"/>
        <v>5</v>
      </c>
      <c r="X27" s="38">
        <f t="shared" si="1"/>
        <v>0</v>
      </c>
      <c r="Y27" s="38">
        <f t="shared" si="2"/>
        <v>0</v>
      </c>
      <c r="Z27" s="38" t="str">
        <f t="shared" si="3"/>
        <v>Felicitaciones por el buen rendimiento Académico</v>
      </c>
      <c r="AA27" s="20">
        <f t="shared" si="4"/>
        <v>0</v>
      </c>
      <c r="AB27" s="20"/>
      <c r="AC27" s="20"/>
      <c r="AD27" s="20"/>
      <c r="AE27" s="20"/>
      <c r="AF27" s="20">
        <f t="shared" si="5"/>
        <v>5</v>
      </c>
      <c r="AG27" s="20">
        <v>2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</row>
    <row r="28" spans="1:61" ht="15.75" customHeight="1">
      <c r="A28" s="44">
        <v>25</v>
      </c>
      <c r="B28" s="45"/>
      <c r="C28" s="46" t="s">
        <v>87</v>
      </c>
      <c r="D28" s="42"/>
      <c r="E28" s="34"/>
      <c r="F28" s="34"/>
      <c r="G28" s="42"/>
      <c r="H28" s="34"/>
      <c r="I28" s="34"/>
      <c r="J28" s="42"/>
      <c r="K28" s="42"/>
      <c r="L28" s="42"/>
      <c r="M28" s="34"/>
      <c r="N28" s="34"/>
      <c r="O28" s="34"/>
      <c r="P28" s="42"/>
      <c r="Q28" s="34"/>
      <c r="R28" s="34"/>
      <c r="S28" s="42"/>
      <c r="T28" s="34"/>
      <c r="U28" s="34"/>
      <c r="V28" s="42"/>
      <c r="W28" s="43">
        <f t="shared" si="7"/>
        <v>0</v>
      </c>
      <c r="X28" s="38">
        <f t="shared" si="1"/>
        <v>0</v>
      </c>
      <c r="Y28" s="38">
        <f t="shared" si="2"/>
        <v>0</v>
      </c>
      <c r="Z28" s="38" t="str">
        <f t="shared" si="3"/>
        <v>Felicitaciones por el buen rendimiento Académico</v>
      </c>
      <c r="AA28" s="20">
        <f t="shared" si="4"/>
        <v>0</v>
      </c>
      <c r="AB28" s="20"/>
      <c r="AC28" s="20"/>
      <c r="AD28" s="20"/>
      <c r="AE28" s="20"/>
      <c r="AF28" s="20">
        <f t="shared" si="5"/>
        <v>0</v>
      </c>
      <c r="AG28" s="20">
        <v>0</v>
      </c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</row>
    <row r="29" spans="1:61" ht="15.75" customHeight="1">
      <c r="A29" s="44">
        <v>26</v>
      </c>
      <c r="B29" s="45"/>
      <c r="C29" s="46" t="s">
        <v>88</v>
      </c>
      <c r="D29" s="42"/>
      <c r="E29" s="34"/>
      <c r="F29" s="34"/>
      <c r="G29" s="42"/>
      <c r="H29" s="34" t="s">
        <v>58</v>
      </c>
      <c r="I29" s="34" t="s">
        <v>58</v>
      </c>
      <c r="J29" s="42"/>
      <c r="K29" s="42"/>
      <c r="L29" s="42"/>
      <c r="M29" s="34"/>
      <c r="N29" s="34"/>
      <c r="O29" s="34" t="s">
        <v>58</v>
      </c>
      <c r="P29" s="42"/>
      <c r="Q29" s="34" t="s">
        <v>58</v>
      </c>
      <c r="R29" s="34" t="s">
        <v>58</v>
      </c>
      <c r="S29" s="42"/>
      <c r="T29" s="34"/>
      <c r="U29" s="34"/>
      <c r="V29" s="42"/>
      <c r="W29" s="43">
        <f t="shared" si="7"/>
        <v>5</v>
      </c>
      <c r="X29" s="38">
        <f t="shared" si="1"/>
        <v>0</v>
      </c>
      <c r="Y29" s="38">
        <f t="shared" si="2"/>
        <v>0</v>
      </c>
      <c r="Z29" s="38" t="str">
        <f t="shared" si="3"/>
        <v>Felicitaciones por el buen rendimiento Académico</v>
      </c>
      <c r="AA29" s="20">
        <f t="shared" si="4"/>
        <v>0</v>
      </c>
      <c r="AB29" s="20"/>
      <c r="AC29" s="20"/>
      <c r="AD29" s="20"/>
      <c r="AE29" s="20"/>
      <c r="AF29" s="20">
        <f t="shared" si="5"/>
        <v>5</v>
      </c>
      <c r="AG29" s="20">
        <v>1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</row>
    <row r="30" spans="1:61" ht="15.75" customHeight="1">
      <c r="A30" s="44">
        <v>27</v>
      </c>
      <c r="B30" s="45"/>
      <c r="C30" s="46" t="s">
        <v>89</v>
      </c>
      <c r="D30" s="42"/>
      <c r="E30" s="34"/>
      <c r="F30" s="34"/>
      <c r="G30" s="42"/>
      <c r="H30" s="34"/>
      <c r="I30" s="34"/>
      <c r="J30" s="42"/>
      <c r="K30" s="42"/>
      <c r="L30" s="42"/>
      <c r="M30" s="34"/>
      <c r="N30" s="34" t="s">
        <v>58</v>
      </c>
      <c r="O30" s="34" t="s">
        <v>58</v>
      </c>
      <c r="P30" s="42"/>
      <c r="Q30" s="34"/>
      <c r="R30" s="34"/>
      <c r="S30" s="42"/>
      <c r="T30" s="34"/>
      <c r="U30" s="34"/>
      <c r="V30" s="42"/>
      <c r="W30" s="43">
        <f t="shared" si="7"/>
        <v>2</v>
      </c>
      <c r="X30" s="38">
        <f t="shared" si="1"/>
        <v>0</v>
      </c>
      <c r="Y30" s="38">
        <f t="shared" si="2"/>
        <v>0</v>
      </c>
      <c r="Z30" s="38" t="str">
        <f t="shared" si="3"/>
        <v>Felicitaciones por el buen rendimiento Académico</v>
      </c>
      <c r="AA30" s="20">
        <f t="shared" si="4"/>
        <v>0</v>
      </c>
      <c r="AB30" s="20"/>
      <c r="AC30" s="20"/>
      <c r="AD30" s="20"/>
      <c r="AE30" s="20"/>
      <c r="AF30" s="20">
        <f t="shared" si="5"/>
        <v>2</v>
      </c>
      <c r="AG30" s="20">
        <v>1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</row>
    <row r="31" spans="1:61" ht="15.75" customHeight="1">
      <c r="A31" s="44">
        <v>28</v>
      </c>
      <c r="B31" s="45"/>
      <c r="C31" s="46" t="s">
        <v>90</v>
      </c>
      <c r="D31" s="42"/>
      <c r="E31" s="34"/>
      <c r="F31" s="34" t="s">
        <v>58</v>
      </c>
      <c r="G31" s="42"/>
      <c r="H31" s="34"/>
      <c r="I31" s="34"/>
      <c r="J31" s="42"/>
      <c r="K31" s="42"/>
      <c r="L31" s="42"/>
      <c r="M31" s="34"/>
      <c r="N31" s="34"/>
      <c r="O31" s="34"/>
      <c r="P31" s="42"/>
      <c r="Q31" s="34"/>
      <c r="R31" s="34"/>
      <c r="S31" s="42"/>
      <c r="T31" s="34"/>
      <c r="U31" s="34"/>
      <c r="V31" s="42" t="s">
        <v>58</v>
      </c>
      <c r="W31" s="43">
        <f t="shared" si="7"/>
        <v>2</v>
      </c>
      <c r="X31" s="38">
        <f t="shared" si="1"/>
        <v>0</v>
      </c>
      <c r="Y31" s="38">
        <f t="shared" si="2"/>
        <v>1</v>
      </c>
      <c r="Z31" s="38" t="str">
        <f t="shared" si="3"/>
        <v>Pasas con logros Pendientes</v>
      </c>
      <c r="AA31" s="20">
        <f t="shared" si="4"/>
        <v>1</v>
      </c>
      <c r="AB31" s="20"/>
      <c r="AC31" s="20"/>
      <c r="AD31" s="20"/>
      <c r="AE31" s="20"/>
      <c r="AF31" s="20">
        <f t="shared" si="5"/>
        <v>2</v>
      </c>
      <c r="AG31" s="20">
        <v>1</v>
      </c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</row>
    <row r="32" spans="1:61" ht="15.75" customHeight="1">
      <c r="A32" s="44">
        <v>29</v>
      </c>
      <c r="B32" s="45"/>
      <c r="C32" s="46" t="s">
        <v>91</v>
      </c>
      <c r="D32" s="42"/>
      <c r="E32" s="34"/>
      <c r="F32" s="34"/>
      <c r="G32" s="42"/>
      <c r="H32" s="34"/>
      <c r="I32" s="34"/>
      <c r="J32" s="42"/>
      <c r="K32" s="42"/>
      <c r="L32" s="42"/>
      <c r="M32" s="34"/>
      <c r="N32" s="34" t="s">
        <v>58</v>
      </c>
      <c r="O32" s="34" t="s">
        <v>58</v>
      </c>
      <c r="P32" s="42"/>
      <c r="Q32" s="34" t="s">
        <v>58</v>
      </c>
      <c r="R32" s="34" t="s">
        <v>58</v>
      </c>
      <c r="S32" s="42"/>
      <c r="T32" s="34" t="s">
        <v>58</v>
      </c>
      <c r="U32" s="34"/>
      <c r="V32" s="42"/>
      <c r="W32" s="43">
        <f t="shared" si="7"/>
        <v>5</v>
      </c>
      <c r="X32" s="38">
        <f t="shared" si="1"/>
        <v>0</v>
      </c>
      <c r="Y32" s="38">
        <f t="shared" si="2"/>
        <v>0</v>
      </c>
      <c r="Z32" s="38" t="str">
        <f t="shared" si="3"/>
        <v>Felicitaciones por el buen rendimiento Académico</v>
      </c>
      <c r="AA32" s="20">
        <f t="shared" si="4"/>
        <v>0</v>
      </c>
      <c r="AB32" s="20"/>
      <c r="AC32" s="20"/>
      <c r="AD32" s="20"/>
      <c r="AE32" s="20">
        <v>45</v>
      </c>
      <c r="AF32" s="20">
        <f t="shared" si="5"/>
        <v>5</v>
      </c>
      <c r="AG32" s="20">
        <v>2</v>
      </c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</row>
    <row r="33" spans="1:61" ht="15.75" customHeight="1">
      <c r="A33" s="44">
        <v>30</v>
      </c>
      <c r="B33" s="45"/>
      <c r="C33" s="46" t="s">
        <v>92</v>
      </c>
      <c r="D33" s="42"/>
      <c r="E33" s="34"/>
      <c r="F33" s="34"/>
      <c r="G33" s="42"/>
      <c r="H33" s="34" t="s">
        <v>58</v>
      </c>
      <c r="I33" s="34" t="s">
        <v>58</v>
      </c>
      <c r="J33" s="42"/>
      <c r="K33" s="42" t="s">
        <v>58</v>
      </c>
      <c r="L33" s="42"/>
      <c r="M33" s="34"/>
      <c r="N33" s="34"/>
      <c r="O33" s="34" t="s">
        <v>58</v>
      </c>
      <c r="P33" s="42"/>
      <c r="Q33" s="34" t="s">
        <v>58</v>
      </c>
      <c r="R33" s="34" t="s">
        <v>58</v>
      </c>
      <c r="S33" s="42"/>
      <c r="T33" s="34"/>
      <c r="U33" s="34" t="s">
        <v>58</v>
      </c>
      <c r="V33" s="42"/>
      <c r="W33" s="43">
        <f t="shared" si="7"/>
        <v>7</v>
      </c>
      <c r="X33" s="38">
        <f t="shared" si="1"/>
        <v>0</v>
      </c>
      <c r="Y33" s="38">
        <f t="shared" si="2"/>
        <v>1</v>
      </c>
      <c r="Z33" s="38" t="str">
        <f t="shared" si="3"/>
        <v>Pasas con logros Pendientes</v>
      </c>
      <c r="AA33" s="20">
        <f t="shared" si="4"/>
        <v>1</v>
      </c>
      <c r="AB33" s="20"/>
      <c r="AC33" s="20"/>
      <c r="AD33" s="20"/>
      <c r="AE33" s="20">
        <v>18</v>
      </c>
      <c r="AF33" s="20">
        <f t="shared" si="5"/>
        <v>7</v>
      </c>
      <c r="AG33" s="20">
        <v>2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</row>
    <row r="34" spans="1:61" ht="15.75" customHeight="1">
      <c r="A34" s="44">
        <v>31</v>
      </c>
      <c r="B34" s="45"/>
      <c r="C34" s="46" t="s">
        <v>93</v>
      </c>
      <c r="D34" s="42"/>
      <c r="E34" s="34"/>
      <c r="F34" s="34"/>
      <c r="G34" s="42"/>
      <c r="H34" s="34" t="s">
        <v>58</v>
      </c>
      <c r="I34" s="34" t="s">
        <v>58</v>
      </c>
      <c r="J34" s="42"/>
      <c r="K34" s="42"/>
      <c r="L34" s="42"/>
      <c r="M34" s="34"/>
      <c r="N34" s="34"/>
      <c r="O34" s="34"/>
      <c r="P34" s="42"/>
      <c r="Q34" s="34" t="s">
        <v>58</v>
      </c>
      <c r="R34" s="34"/>
      <c r="S34" s="42"/>
      <c r="T34" s="34" t="s">
        <v>58</v>
      </c>
      <c r="U34" s="34"/>
      <c r="V34" s="42"/>
      <c r="W34" s="43">
        <f t="shared" si="7"/>
        <v>4</v>
      </c>
      <c r="X34" s="38">
        <f t="shared" si="1"/>
        <v>0</v>
      </c>
      <c r="Y34" s="38">
        <f t="shared" si="2"/>
        <v>0</v>
      </c>
      <c r="Z34" s="38" t="str">
        <f t="shared" si="3"/>
        <v>Felicitaciones por el buen rendimiento Académico</v>
      </c>
      <c r="AA34" s="20">
        <f t="shared" si="4"/>
        <v>0</v>
      </c>
      <c r="AB34" s="20"/>
      <c r="AC34" s="20"/>
      <c r="AD34" s="20"/>
      <c r="AE34" s="20">
        <f>AE32-AE33</f>
        <v>27</v>
      </c>
      <c r="AF34" s="20">
        <f t="shared" si="5"/>
        <v>4</v>
      </c>
      <c r="AG34" s="20">
        <v>1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.75" customHeight="1">
      <c r="A35" s="44">
        <v>32</v>
      </c>
      <c r="B35" s="45"/>
      <c r="C35" s="46" t="s">
        <v>94</v>
      </c>
      <c r="D35" s="42"/>
      <c r="E35" s="34"/>
      <c r="F35" s="34"/>
      <c r="G35" s="42"/>
      <c r="H35" s="34"/>
      <c r="I35" s="34"/>
      <c r="J35" s="42"/>
      <c r="K35" s="42"/>
      <c r="L35" s="42"/>
      <c r="M35" s="34"/>
      <c r="N35" s="34"/>
      <c r="O35" s="34"/>
      <c r="P35" s="42"/>
      <c r="Q35" s="34"/>
      <c r="R35" s="34"/>
      <c r="S35" s="42"/>
      <c r="T35" s="34"/>
      <c r="U35" s="34"/>
      <c r="V35" s="42"/>
      <c r="W35" s="43">
        <f t="shared" si="7"/>
        <v>0</v>
      </c>
      <c r="X35" s="38">
        <f t="shared" si="1"/>
        <v>0</v>
      </c>
      <c r="Y35" s="38">
        <f t="shared" si="2"/>
        <v>0</v>
      </c>
      <c r="Z35" s="38" t="str">
        <f t="shared" si="3"/>
        <v>Felicitaciones por el buen rendimiento Académico</v>
      </c>
      <c r="AA35" s="20">
        <f t="shared" si="4"/>
        <v>0</v>
      </c>
      <c r="AB35" s="20"/>
      <c r="AC35" s="20"/>
      <c r="AD35" s="20"/>
      <c r="AE35" s="20"/>
      <c r="AF35" s="20">
        <f t="shared" si="5"/>
        <v>0</v>
      </c>
      <c r="AG35" s="20">
        <v>0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</row>
    <row r="36" spans="1:61" ht="15.75" customHeight="1">
      <c r="A36" s="44">
        <v>33</v>
      </c>
      <c r="B36" s="45"/>
      <c r="C36" s="46" t="s">
        <v>95</v>
      </c>
      <c r="D36" s="42"/>
      <c r="E36" s="34"/>
      <c r="F36" s="34"/>
      <c r="G36" s="42"/>
      <c r="H36" s="34" t="s">
        <v>58</v>
      </c>
      <c r="I36" s="34" t="s">
        <v>58</v>
      </c>
      <c r="J36" s="42"/>
      <c r="K36" s="42"/>
      <c r="L36" s="42"/>
      <c r="M36" s="34"/>
      <c r="N36" s="34" t="s">
        <v>58</v>
      </c>
      <c r="O36" s="34" t="s">
        <v>58</v>
      </c>
      <c r="P36" s="42"/>
      <c r="Q36" s="34"/>
      <c r="R36" s="34"/>
      <c r="S36" s="42"/>
      <c r="T36" s="34" t="s">
        <v>58</v>
      </c>
      <c r="U36" s="34" t="s">
        <v>58</v>
      </c>
      <c r="V36" s="42"/>
      <c r="W36" s="43">
        <f t="shared" si="7"/>
        <v>6</v>
      </c>
      <c r="X36" s="38">
        <f t="shared" si="1"/>
        <v>0</v>
      </c>
      <c r="Y36" s="38">
        <f t="shared" si="2"/>
        <v>0</v>
      </c>
      <c r="Z36" s="38" t="str">
        <f t="shared" si="3"/>
        <v>Felicitaciones por el buen rendimiento Académico</v>
      </c>
      <c r="AA36" s="20">
        <f t="shared" si="4"/>
        <v>0</v>
      </c>
      <c r="AB36" s="20"/>
      <c r="AC36" s="20"/>
      <c r="AD36" s="20"/>
      <c r="AE36" s="20"/>
      <c r="AF36" s="20">
        <f t="shared" si="5"/>
        <v>6</v>
      </c>
      <c r="AG36" s="20">
        <v>2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</row>
    <row r="37" spans="1:61" ht="15.75" customHeight="1">
      <c r="A37" s="44">
        <v>34</v>
      </c>
      <c r="B37" s="45"/>
      <c r="C37" s="46" t="s">
        <v>96</v>
      </c>
      <c r="D37" s="42"/>
      <c r="E37" s="34"/>
      <c r="F37" s="34" t="s">
        <v>58</v>
      </c>
      <c r="G37" s="42"/>
      <c r="H37" s="34" t="s">
        <v>58</v>
      </c>
      <c r="I37" s="34" t="s">
        <v>58</v>
      </c>
      <c r="J37" s="42"/>
      <c r="K37" s="42"/>
      <c r="L37" s="42"/>
      <c r="M37" s="34"/>
      <c r="N37" s="34"/>
      <c r="O37" s="34"/>
      <c r="P37" s="42"/>
      <c r="Q37" s="34"/>
      <c r="R37" s="34"/>
      <c r="S37" s="42"/>
      <c r="T37" s="34"/>
      <c r="U37" s="34" t="s">
        <v>58</v>
      </c>
      <c r="V37" s="42"/>
      <c r="W37" s="43">
        <f t="shared" si="7"/>
        <v>4</v>
      </c>
      <c r="X37" s="38">
        <f t="shared" si="1"/>
        <v>0</v>
      </c>
      <c r="Y37" s="38">
        <f t="shared" si="2"/>
        <v>0</v>
      </c>
      <c r="Z37" s="38" t="str">
        <f t="shared" si="3"/>
        <v>Felicitaciones por el buen rendimiento Académico</v>
      </c>
      <c r="AA37" s="20">
        <f t="shared" si="4"/>
        <v>0</v>
      </c>
      <c r="AB37" s="20"/>
      <c r="AC37" s="20"/>
      <c r="AD37" s="20"/>
      <c r="AE37" s="20"/>
      <c r="AF37" s="20">
        <f t="shared" si="5"/>
        <v>4</v>
      </c>
      <c r="AG37" s="20">
        <v>0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</row>
    <row r="38" spans="1:61" ht="15.75" customHeight="1">
      <c r="A38" s="44">
        <v>35</v>
      </c>
      <c r="B38" s="45"/>
      <c r="C38" s="55" t="s">
        <v>97</v>
      </c>
      <c r="D38" s="42"/>
      <c r="E38" s="34"/>
      <c r="F38" s="34"/>
      <c r="G38" s="42"/>
      <c r="H38" s="34"/>
      <c r="I38" s="34"/>
      <c r="J38" s="42"/>
      <c r="K38" s="42"/>
      <c r="L38" s="42"/>
      <c r="M38" s="34"/>
      <c r="N38" s="34" t="s">
        <v>58</v>
      </c>
      <c r="O38" s="34" t="s">
        <v>58</v>
      </c>
      <c r="P38" s="42"/>
      <c r="Q38" s="34"/>
      <c r="R38" s="34"/>
      <c r="S38" s="42"/>
      <c r="T38" s="34" t="s">
        <v>58</v>
      </c>
      <c r="U38" s="34" t="s">
        <v>58</v>
      </c>
      <c r="V38" s="42"/>
      <c r="W38" s="43">
        <f t="shared" si="7"/>
        <v>4</v>
      </c>
      <c r="X38" s="38">
        <f t="shared" si="1"/>
        <v>0</v>
      </c>
      <c r="Y38" s="38">
        <f t="shared" si="2"/>
        <v>0</v>
      </c>
      <c r="Z38" s="38" t="str">
        <f t="shared" si="3"/>
        <v>Felicitaciones por el buen rendimiento Académico</v>
      </c>
      <c r="AA38" s="20">
        <f t="shared" si="4"/>
        <v>0</v>
      </c>
      <c r="AB38" s="20"/>
      <c r="AC38" s="20"/>
      <c r="AD38" s="20"/>
      <c r="AE38" s="20"/>
      <c r="AF38" s="20">
        <f t="shared" si="5"/>
        <v>4</v>
      </c>
      <c r="AG38" s="20">
        <v>2</v>
      </c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</row>
    <row r="39" spans="1:61" ht="15.75" customHeight="1">
      <c r="A39" s="44">
        <v>36</v>
      </c>
      <c r="B39" s="45"/>
      <c r="C39" s="55" t="s">
        <v>98</v>
      </c>
      <c r="D39" s="42"/>
      <c r="E39" s="34" t="s">
        <v>58</v>
      </c>
      <c r="F39" s="34" t="s">
        <v>58</v>
      </c>
      <c r="G39" s="42"/>
      <c r="H39" s="34"/>
      <c r="I39" s="34"/>
      <c r="J39" s="42" t="s">
        <v>58</v>
      </c>
      <c r="K39" s="42" t="s">
        <v>58</v>
      </c>
      <c r="L39" s="42"/>
      <c r="M39" s="34"/>
      <c r="N39" s="34" t="s">
        <v>58</v>
      </c>
      <c r="O39" s="34" t="s">
        <v>58</v>
      </c>
      <c r="P39" s="42"/>
      <c r="Q39" s="34" t="s">
        <v>58</v>
      </c>
      <c r="R39" s="34" t="s">
        <v>58</v>
      </c>
      <c r="S39" s="42"/>
      <c r="T39" s="34" t="s">
        <v>58</v>
      </c>
      <c r="U39" s="34" t="s">
        <v>58</v>
      </c>
      <c r="V39" s="42" t="s">
        <v>58</v>
      </c>
      <c r="W39" s="43">
        <f t="shared" si="7"/>
        <v>11</v>
      </c>
      <c r="X39" s="38">
        <f t="shared" si="1"/>
        <v>0</v>
      </c>
      <c r="Y39" s="38">
        <f t="shared" si="2"/>
        <v>3</v>
      </c>
      <c r="Z39" s="38" t="str">
        <f t="shared" si="3"/>
        <v>Tu año esta en riesgo de perderse</v>
      </c>
      <c r="AA39" s="20">
        <f t="shared" si="4"/>
        <v>3</v>
      </c>
      <c r="AB39" s="20"/>
      <c r="AC39" s="20"/>
      <c r="AD39" s="20"/>
      <c r="AE39" s="20"/>
      <c r="AF39" s="20">
        <f t="shared" si="5"/>
        <v>11</v>
      </c>
      <c r="AG39" s="20">
        <v>7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</row>
    <row r="40" spans="1:61" ht="15.75" customHeight="1">
      <c r="A40" s="44">
        <v>37</v>
      </c>
      <c r="B40" s="45"/>
      <c r="C40" s="56"/>
      <c r="D40" s="57"/>
      <c r="E40" s="58"/>
      <c r="F40" s="58"/>
      <c r="G40" s="57"/>
      <c r="H40" s="58"/>
      <c r="I40" s="58"/>
      <c r="J40" s="57"/>
      <c r="K40" s="57"/>
      <c r="L40" s="57"/>
      <c r="M40" s="58"/>
      <c r="N40" s="58"/>
      <c r="O40" s="58"/>
      <c r="P40" s="57"/>
      <c r="Q40" s="58"/>
      <c r="R40" s="58"/>
      <c r="S40" s="57"/>
      <c r="T40" s="58"/>
      <c r="U40" s="58"/>
      <c r="V40" s="57"/>
      <c r="W40" s="43">
        <f t="shared" si="7"/>
        <v>0</v>
      </c>
      <c r="X40" s="38">
        <f t="shared" si="1"/>
        <v>0</v>
      </c>
      <c r="Y40" s="38">
        <f t="shared" si="2"/>
        <v>0</v>
      </c>
      <c r="Z40" s="38" t="str">
        <f t="shared" si="3"/>
        <v>Felicitaciones por el buen rendimiento Académico</v>
      </c>
      <c r="AA40" s="20">
        <f t="shared" si="4"/>
        <v>0</v>
      </c>
      <c r="AB40" s="20"/>
      <c r="AC40" s="20"/>
      <c r="AD40" s="20"/>
      <c r="AE40" s="20"/>
      <c r="AF40" s="20">
        <f t="shared" si="5"/>
        <v>0</v>
      </c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61" ht="15.75" customHeight="1">
      <c r="A41" s="44">
        <v>38</v>
      </c>
      <c r="C41" s="1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AA41" s="20"/>
      <c r="AB41" s="20"/>
      <c r="AC41" s="20"/>
      <c r="AD41" s="20"/>
      <c r="AE41" s="20"/>
      <c r="AF41" s="20">
        <f t="shared" si="5"/>
        <v>0</v>
      </c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</row>
    <row r="42" spans="1:61" ht="15.75" customHeight="1">
      <c r="A42" s="60"/>
      <c r="D42" s="50">
        <f t="shared" ref="D42:V42" si="8">COUNTIF(D4:D41,"X")</f>
        <v>0</v>
      </c>
      <c r="E42" s="50">
        <f t="shared" si="8"/>
        <v>6</v>
      </c>
      <c r="F42" s="50">
        <f t="shared" si="8"/>
        <v>13</v>
      </c>
      <c r="G42" s="50">
        <f t="shared" si="8"/>
        <v>0</v>
      </c>
      <c r="H42" s="50">
        <f t="shared" si="8"/>
        <v>12</v>
      </c>
      <c r="I42" s="50">
        <f t="shared" si="8"/>
        <v>12</v>
      </c>
      <c r="J42" s="50">
        <f t="shared" si="8"/>
        <v>5</v>
      </c>
      <c r="K42" s="50">
        <f t="shared" si="8"/>
        <v>4</v>
      </c>
      <c r="L42" s="50">
        <f t="shared" si="8"/>
        <v>0</v>
      </c>
      <c r="M42" s="50">
        <f t="shared" si="8"/>
        <v>0</v>
      </c>
      <c r="N42" s="50">
        <f t="shared" si="8"/>
        <v>14</v>
      </c>
      <c r="O42" s="50">
        <f t="shared" si="8"/>
        <v>19</v>
      </c>
      <c r="P42" s="50">
        <f t="shared" si="8"/>
        <v>0</v>
      </c>
      <c r="Q42" s="50">
        <f t="shared" si="8"/>
        <v>12</v>
      </c>
      <c r="R42" s="50">
        <f t="shared" si="8"/>
        <v>13</v>
      </c>
      <c r="S42" s="50">
        <f t="shared" si="8"/>
        <v>0</v>
      </c>
      <c r="T42" s="50">
        <f t="shared" si="8"/>
        <v>14</v>
      </c>
      <c r="U42" s="50">
        <f t="shared" si="8"/>
        <v>13</v>
      </c>
      <c r="V42" s="50">
        <f t="shared" si="8"/>
        <v>10</v>
      </c>
      <c r="AA42" s="20"/>
      <c r="AB42" s="20"/>
      <c r="AC42" s="20"/>
      <c r="AD42" s="20"/>
      <c r="AE42" s="20"/>
      <c r="AF42" s="20">
        <f>COUNTIF(AF4:AF41,"0")</f>
        <v>8</v>
      </c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</row>
    <row r="43" spans="1:61" ht="15.75" customHeight="1">
      <c r="A43" s="6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</row>
    <row r="44" spans="1:61" ht="15.75" customHeight="1">
      <c r="A44" s="6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</row>
    <row r="45" spans="1:61" ht="15.75" customHeight="1">
      <c r="A45" s="6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</row>
    <row r="46" spans="1:61" ht="15.75" customHeight="1">
      <c r="A46" s="6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</row>
    <row r="47" spans="1:61" ht="15.75" customHeight="1">
      <c r="A47" s="6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</row>
    <row r="48" spans="1:61" ht="15.75" customHeight="1">
      <c r="A48" s="6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</row>
    <row r="49" spans="1:61" ht="15.75" customHeight="1">
      <c r="A49" s="6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</row>
    <row r="50" spans="1:61" ht="15.75" customHeight="1">
      <c r="A50" s="6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</row>
    <row r="51" spans="1:61" ht="15.75" customHeight="1">
      <c r="A51" s="6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</row>
    <row r="52" spans="1:61" ht="15.75" customHeight="1">
      <c r="A52" s="6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</row>
    <row r="53" spans="1:61" ht="15.75" customHeight="1">
      <c r="A53" s="6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</row>
    <row r="54" spans="1:61" ht="15.75" customHeight="1">
      <c r="A54" s="60"/>
      <c r="AA54" s="61" t="s">
        <v>99</v>
      </c>
      <c r="AB54" s="61"/>
      <c r="AC54" s="61" t="s">
        <v>100</v>
      </c>
      <c r="AD54" s="61" t="s">
        <v>23</v>
      </c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</row>
    <row r="55" spans="1:61" ht="15.75" customHeight="1">
      <c r="A55" s="60"/>
      <c r="AA55" s="62" t="s">
        <v>101</v>
      </c>
      <c r="AB55" s="62"/>
      <c r="AC55" s="49">
        <f>COUNTIF(Z4:Z40,"Felicitaciones por el buen rendimiento Académico")+1</f>
        <v>27</v>
      </c>
      <c r="AD55" s="63">
        <f t="shared" ref="AD55:AD57" si="9">AC55/$AC$58</f>
        <v>0.72972972972972971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</row>
    <row r="56" spans="1:61" ht="15.75" customHeight="1">
      <c r="A56" s="60"/>
      <c r="AA56" s="62" t="s">
        <v>102</v>
      </c>
      <c r="AB56" s="62"/>
      <c r="AC56" s="49">
        <f>COUNTIF($Z$4:$Z$40,"Pasas con logros Pendientes")</f>
        <v>5</v>
      </c>
      <c r="AD56" s="63">
        <f t="shared" si="9"/>
        <v>0.13513513513513514</v>
      </c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</row>
    <row r="57" spans="1:61" ht="15.75" customHeight="1">
      <c r="A57" s="60"/>
      <c r="AA57" s="61" t="s">
        <v>103</v>
      </c>
      <c r="AB57" s="61"/>
      <c r="AC57" s="49">
        <f>COUNTIF($Z$4:$Z$40,"Tu año esta en riesgo de perderse")</f>
        <v>6</v>
      </c>
      <c r="AD57" s="63">
        <f t="shared" si="9"/>
        <v>0.16216216216216217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</row>
    <row r="58" spans="1:61" ht="15.75" customHeight="1">
      <c r="A58" s="64"/>
      <c r="AA58" s="65" t="s">
        <v>104</v>
      </c>
      <c r="AB58" s="65"/>
      <c r="AC58" s="65">
        <v>37</v>
      </c>
      <c r="AD58" s="66">
        <v>1</v>
      </c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</row>
    <row r="59" spans="1:61" ht="15.75" customHeight="1">
      <c r="A59" s="67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</row>
    <row r="60" spans="1:61" ht="15.75" customHeight="1"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</row>
    <row r="61" spans="1:61" ht="15.75" customHeight="1"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</row>
    <row r="62" spans="1:61" ht="15.75" customHeight="1"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</row>
    <row r="63" spans="1:61" ht="15.75" customHeight="1"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</row>
    <row r="64" spans="1:61" ht="15.75" customHeight="1"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</row>
    <row r="65" spans="27:61" ht="15.75" customHeight="1"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</row>
    <row r="66" spans="27:61" ht="15.75" customHeight="1"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</row>
    <row r="67" spans="27:61" ht="15.75" customHeight="1"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</row>
    <row r="68" spans="27:61" ht="15.75" customHeight="1"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</row>
    <row r="69" spans="27:61" ht="15.75" customHeight="1"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</row>
    <row r="70" spans="27:61" ht="15.75" customHeight="1"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</row>
    <row r="71" spans="27:61" ht="15.75" customHeight="1"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</row>
    <row r="72" spans="27:61" ht="15.75" customHeight="1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</row>
    <row r="73" spans="27:61" ht="15.75" customHeight="1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</row>
    <row r="74" spans="27:61" ht="15.75" customHeight="1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</row>
    <row r="75" spans="27:61" ht="15.75" customHeight="1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</row>
    <row r="76" spans="27:61" ht="15.75" customHeight="1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</row>
    <row r="77" spans="27:61" ht="15.75" customHeight="1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</row>
    <row r="78" spans="27:61" ht="15.75" customHeight="1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</row>
    <row r="79" spans="27:61" ht="15.75" customHeight="1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</row>
    <row r="80" spans="27:61" ht="15.75" customHeight="1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</row>
    <row r="81" spans="27:61" ht="15.75" customHeight="1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</row>
    <row r="82" spans="27:61" ht="15.75" customHeight="1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</row>
    <row r="83" spans="27:61" ht="15.75" customHeight="1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</row>
    <row r="84" spans="27:61" ht="15.75" customHeight="1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</row>
    <row r="85" spans="27:61" ht="15.75" customHeight="1"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</row>
    <row r="86" spans="27:61" ht="15.75" customHeight="1"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</row>
    <row r="87" spans="27:61" ht="15.75" customHeight="1"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</row>
    <row r="88" spans="27:61" ht="15.75" customHeight="1"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</row>
    <row r="89" spans="27:61" ht="15.75" customHeight="1"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</row>
    <row r="90" spans="27:61" ht="15.75" customHeight="1"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</row>
    <row r="91" spans="27:61" ht="15.75" customHeight="1"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</row>
    <row r="92" spans="27:61" ht="15.75" customHeight="1"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</row>
    <row r="93" spans="27:61" ht="15.75" customHeight="1"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</row>
    <row r="94" spans="27:61" ht="15.75" customHeight="1"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</row>
    <row r="95" spans="27:61" ht="15.75" customHeight="1"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</row>
    <row r="96" spans="27:61" ht="15.75" customHeight="1"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</row>
    <row r="97" spans="27:61" ht="15.75" customHeight="1"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</row>
    <row r="98" spans="27:61" ht="15.75" customHeight="1"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</row>
    <row r="99" spans="27:61" ht="15.75" customHeight="1"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</row>
    <row r="100" spans="27:61" ht="15.75" customHeight="1"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</row>
    <row r="101" spans="27:61" ht="15.75" customHeight="1"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</row>
    <row r="102" spans="27:61" ht="15.75" customHeight="1"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</row>
    <row r="103" spans="27:61" ht="15.75" customHeight="1"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</row>
    <row r="104" spans="27:61" ht="15.75" customHeight="1"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</row>
    <row r="105" spans="27:61" ht="15.75" customHeight="1"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</row>
    <row r="106" spans="27:61" ht="15.75" customHeight="1"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</row>
    <row r="107" spans="27:61" ht="15.75" customHeight="1"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</row>
    <row r="108" spans="27:61" ht="15.75" customHeight="1"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</row>
    <row r="109" spans="27:61" ht="15.75" customHeight="1"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</row>
    <row r="110" spans="27:61" ht="15.75" customHeight="1"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</row>
    <row r="111" spans="27:61" ht="15.75" customHeight="1"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</row>
    <row r="112" spans="27:61" ht="15.75" customHeight="1"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</row>
    <row r="113" spans="27:61" ht="15.75" customHeight="1"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</row>
    <row r="114" spans="27:61" ht="15.75" customHeight="1"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</row>
    <row r="115" spans="27:61" ht="15.75" customHeight="1"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</row>
    <row r="116" spans="27:61" ht="15.75" customHeight="1"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</row>
    <row r="117" spans="27:61" ht="15.75" customHeight="1"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</row>
    <row r="118" spans="27:61" ht="15.75" customHeight="1"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</row>
    <row r="119" spans="27:61" ht="15.75" customHeight="1"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</row>
    <row r="120" spans="27:61" ht="15.75" customHeight="1"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</row>
    <row r="121" spans="27:61" ht="15.75" customHeight="1"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</row>
    <row r="122" spans="27:61" ht="15.75" customHeight="1"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</row>
    <row r="123" spans="27:61" ht="15.75" customHeight="1"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</row>
    <row r="124" spans="27:61" ht="15.75" customHeight="1"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</row>
    <row r="125" spans="27:61" ht="15.75" customHeight="1"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</row>
    <row r="126" spans="27:61" ht="15.75" customHeight="1"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</row>
    <row r="127" spans="27:61" ht="15.75" customHeight="1"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</row>
    <row r="128" spans="27:61" ht="15.75" customHeight="1"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</row>
    <row r="129" spans="27:61" ht="15.75" customHeight="1"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</row>
    <row r="130" spans="27:61" ht="15.75" customHeight="1"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</row>
    <row r="131" spans="27:61" ht="15.75" customHeight="1"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</row>
    <row r="132" spans="27:61" ht="15.75" customHeight="1"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</row>
    <row r="133" spans="27:61" ht="15.75" customHeight="1"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</row>
    <row r="134" spans="27:61" ht="15.75" customHeight="1"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</row>
    <row r="135" spans="27:61" ht="15.75" customHeight="1"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</row>
    <row r="136" spans="27:61" ht="15.75" customHeight="1"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</row>
    <row r="137" spans="27:61" ht="15.75" customHeight="1"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</row>
    <row r="138" spans="27:61" ht="15.75" customHeight="1"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</row>
    <row r="139" spans="27:61" ht="15.75" customHeight="1"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</row>
    <row r="140" spans="27:61" ht="15.75" customHeight="1"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</row>
    <row r="141" spans="27:61" ht="15.75" customHeight="1"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</row>
    <row r="142" spans="27:61" ht="15.75" customHeight="1"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</row>
    <row r="143" spans="27:61" ht="15.75" customHeight="1"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</row>
    <row r="144" spans="27:61" ht="15.75" customHeight="1"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</row>
    <row r="145" spans="27:61" ht="15.75" customHeight="1"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</row>
    <row r="146" spans="27:61" ht="15.75" customHeight="1"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</row>
    <row r="147" spans="27:61" ht="15.75" customHeight="1"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</row>
    <row r="148" spans="27:61" ht="15.75" customHeight="1"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</row>
    <row r="149" spans="27:61" ht="15.75" customHeight="1"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</row>
    <row r="150" spans="27:61" ht="15.75" customHeight="1"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</row>
    <row r="151" spans="27:61" ht="15.75" customHeight="1"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</row>
    <row r="152" spans="27:61" ht="15.75" customHeight="1"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</row>
    <row r="153" spans="27:61" ht="15.75" customHeight="1"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</row>
    <row r="154" spans="27:61" ht="15.75" customHeight="1"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</row>
    <row r="155" spans="27:61" ht="15.75" customHeight="1"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</row>
    <row r="156" spans="27:61" ht="15.75" customHeight="1"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</row>
    <row r="157" spans="27:61" ht="15.75" customHeight="1"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</row>
    <row r="158" spans="27:61" ht="15.75" customHeight="1"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</row>
    <row r="159" spans="27:61" ht="15.75" customHeight="1"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</row>
    <row r="160" spans="27:61" ht="15.75" customHeight="1"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</row>
    <row r="161" spans="27:61" ht="15.75" customHeight="1"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</row>
    <row r="162" spans="27:61" ht="15.75" customHeight="1"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</row>
    <row r="163" spans="27:61" ht="15.75" customHeight="1"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</row>
    <row r="164" spans="27:61" ht="15.75" customHeight="1"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</row>
    <row r="165" spans="27:61" ht="15.75" customHeight="1"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</row>
    <row r="166" spans="27:61" ht="15.75" customHeight="1"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</row>
    <row r="167" spans="27:61" ht="15.75" customHeight="1"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</row>
    <row r="168" spans="27:61" ht="15.75" customHeight="1"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</row>
    <row r="169" spans="27:61" ht="15.75" customHeight="1"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</row>
    <row r="170" spans="27:61" ht="15.75" customHeight="1"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</row>
    <row r="171" spans="27:61" ht="15.75" customHeight="1"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</row>
    <row r="172" spans="27:61" ht="15.75" customHeight="1"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</row>
    <row r="173" spans="27:61" ht="15.75" customHeight="1"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</row>
    <row r="174" spans="27:61" ht="15.75" customHeight="1"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</row>
    <row r="175" spans="27:61" ht="15.75" customHeight="1"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</row>
    <row r="176" spans="27:61" ht="15.75" customHeight="1"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</row>
    <row r="177" spans="27:61" ht="15.75" customHeight="1"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</row>
    <row r="178" spans="27:61" ht="15.75" customHeight="1"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</row>
    <row r="179" spans="27:61" ht="15.75" customHeight="1"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</row>
    <row r="180" spans="27:61" ht="15.75" customHeight="1"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</row>
    <row r="181" spans="27:61" ht="15.75" customHeight="1"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</row>
    <row r="182" spans="27:61" ht="15.75" customHeight="1"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</row>
    <row r="183" spans="27:61" ht="15.75" customHeight="1"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</row>
    <row r="184" spans="27:61" ht="15.75" customHeight="1"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</row>
    <row r="185" spans="27:61" ht="15.75" customHeight="1"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</row>
    <row r="186" spans="27:61" ht="15.75" customHeight="1"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</row>
    <row r="187" spans="27:61" ht="15.75" customHeight="1"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</row>
    <row r="188" spans="27:61" ht="15.75" customHeight="1"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</row>
    <row r="189" spans="27:61" ht="15.75" customHeight="1"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</row>
    <row r="190" spans="27:61" ht="15.75" customHeight="1"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</row>
    <row r="191" spans="27:61" ht="15.75" customHeight="1"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</row>
    <row r="192" spans="27:61" ht="15.75" customHeight="1"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</row>
    <row r="193" spans="27:61" ht="15.75" customHeight="1"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</row>
    <row r="194" spans="27:61" ht="15.75" customHeight="1"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</row>
    <row r="195" spans="27:61" ht="15.75" customHeight="1"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</row>
    <row r="196" spans="27:61" ht="15.75" customHeight="1"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</row>
    <row r="197" spans="27:61" ht="15.75" customHeight="1"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</row>
    <row r="198" spans="27:61" ht="15.75" customHeight="1"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</row>
    <row r="199" spans="27:61" ht="15.75" customHeight="1"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</row>
    <row r="200" spans="27:61" ht="15.75" customHeight="1"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</row>
    <row r="201" spans="27:61" ht="15.75" customHeight="1"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</row>
    <row r="202" spans="27:61" ht="15.75" customHeight="1"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</row>
    <row r="203" spans="27:61" ht="15.75" customHeight="1"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</row>
    <row r="204" spans="27:61" ht="15.75" customHeight="1"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</row>
    <row r="205" spans="27:61" ht="15.75" customHeight="1"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</row>
    <row r="206" spans="27:61" ht="15.75" customHeight="1"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</row>
    <row r="207" spans="27:61" ht="15.75" customHeight="1"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</row>
    <row r="208" spans="27:61" ht="15.75" customHeight="1"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</row>
    <row r="209" spans="27:61" ht="15.75" customHeight="1"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</row>
    <row r="210" spans="27:61" ht="15.75" customHeight="1"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</row>
    <row r="211" spans="27:61" ht="15.75" customHeight="1"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</row>
    <row r="212" spans="27:61" ht="15.75" customHeight="1"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</row>
    <row r="213" spans="27:61" ht="15.75" customHeight="1"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</row>
    <row r="214" spans="27:61" ht="15.75" customHeight="1"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</row>
    <row r="215" spans="27:61" ht="15.75" customHeight="1"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</row>
    <row r="216" spans="27:61" ht="15.75" customHeight="1"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</row>
    <row r="217" spans="27:61" ht="15.75" customHeight="1"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</row>
    <row r="218" spans="27:61" ht="15.75" customHeight="1"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</row>
    <row r="219" spans="27:61" ht="15.75" customHeight="1"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</row>
    <row r="220" spans="27:61" ht="15.75" customHeight="1"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</row>
    <row r="221" spans="27:61" ht="15.75" customHeight="1"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</row>
    <row r="222" spans="27:61" ht="15.75" customHeight="1"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</row>
    <row r="223" spans="27:61" ht="15.75" customHeight="1"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</row>
    <row r="224" spans="27:61" ht="15.75" customHeight="1"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</row>
    <row r="225" spans="27:61" ht="15.75" customHeight="1"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</row>
    <row r="226" spans="27:61" ht="15.75" customHeight="1"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</row>
    <row r="227" spans="27:61" ht="15.75" customHeight="1"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</row>
    <row r="228" spans="27:61" ht="15.75" customHeight="1"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</row>
    <row r="229" spans="27:61" ht="15.75" customHeight="1"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</row>
    <row r="230" spans="27:61" ht="15.75" customHeight="1"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</row>
    <row r="231" spans="27:61" ht="15.75" customHeight="1"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</row>
    <row r="232" spans="27:61" ht="15.75" customHeight="1"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</row>
    <row r="233" spans="27:61" ht="15.75" customHeight="1"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</row>
    <row r="234" spans="27:61" ht="15.75" customHeight="1"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</row>
    <row r="235" spans="27:61" ht="15.75" customHeight="1"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</row>
    <row r="236" spans="27:61" ht="15.75" customHeight="1"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</row>
    <row r="237" spans="27:61" ht="15.75" customHeight="1"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</row>
    <row r="238" spans="27:61" ht="15.75" customHeight="1"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</row>
    <row r="239" spans="27:61" ht="15.75" customHeight="1"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</row>
    <row r="240" spans="27:61" ht="15.75" customHeight="1"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</row>
    <row r="241" spans="27:61" ht="15.75" customHeight="1"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</row>
    <row r="242" spans="27:61" ht="15.75" customHeight="1"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</row>
    <row r="243" spans="27:61" ht="15.75" customHeight="1"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</row>
    <row r="244" spans="27:61" ht="15.75" customHeight="1"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</row>
    <row r="245" spans="27:61" ht="15.75" customHeight="1"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</row>
    <row r="246" spans="27:61" ht="15.75" customHeight="1"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</row>
    <row r="247" spans="27:61" ht="15.75" customHeight="1"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</row>
    <row r="248" spans="27:61" ht="15.75" customHeight="1"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</row>
    <row r="249" spans="27:61" ht="15.75" customHeight="1"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</row>
    <row r="250" spans="27:61" ht="15.75" customHeight="1"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</row>
    <row r="251" spans="27:61" ht="15.75" customHeight="1"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</row>
    <row r="252" spans="27:61" ht="15.75" customHeight="1"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</row>
    <row r="253" spans="27:61" ht="15.75" customHeight="1"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</row>
    <row r="254" spans="27:61" ht="15.75" customHeight="1"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</row>
    <row r="255" spans="27:61" ht="15.75" customHeight="1"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</row>
    <row r="256" spans="27:61" ht="15.75" customHeight="1"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</row>
    <row r="257" spans="27:61" ht="15.75" customHeight="1"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</row>
    <row r="258" spans="27:61" ht="15.75" customHeight="1"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</row>
    <row r="259" spans="27:61" ht="15.75" customHeight="1"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</row>
    <row r="260" spans="27:61" ht="15.75" customHeight="1"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</row>
    <row r="261" spans="27:61" ht="15.75" customHeight="1"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</row>
    <row r="262" spans="27:61" ht="15.75" customHeight="1"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</row>
    <row r="263" spans="27:61" ht="15.75" customHeight="1"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</row>
    <row r="264" spans="27:61" ht="15.75" customHeight="1"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</row>
    <row r="265" spans="27:61" ht="15.75" customHeight="1"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</row>
    <row r="266" spans="27:61" ht="15.75" customHeight="1"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</row>
    <row r="267" spans="27:61" ht="15.75" customHeight="1"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</row>
    <row r="268" spans="27:61" ht="15.75" customHeight="1"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</row>
    <row r="269" spans="27:61" ht="15.75" customHeight="1"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</row>
    <row r="270" spans="27:61" ht="15.75" customHeight="1"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</row>
    <row r="271" spans="27:61" ht="15.75" customHeight="1"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</row>
    <row r="272" spans="27:61" ht="15.75" customHeight="1"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</row>
    <row r="273" spans="27:61" ht="15.75" customHeight="1"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</row>
    <row r="274" spans="27:61" ht="15.75" customHeight="1"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</row>
    <row r="275" spans="27:61" ht="15.75" customHeight="1"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</row>
    <row r="276" spans="27:61" ht="15.75" customHeight="1"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</row>
    <row r="277" spans="27:61" ht="15.75" customHeight="1"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</row>
    <row r="278" spans="27:61" ht="15.75" customHeight="1"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</row>
    <row r="279" spans="27:61" ht="15.75" customHeight="1"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</row>
    <row r="280" spans="27:61" ht="15.75" customHeight="1"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</row>
    <row r="281" spans="27:61" ht="15.75" customHeight="1"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</row>
    <row r="282" spans="27:61" ht="15.75" customHeight="1"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</row>
    <row r="283" spans="27:61" ht="15.75" customHeight="1"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</row>
    <row r="284" spans="27:61" ht="15.75" customHeight="1"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</row>
    <row r="285" spans="27:61" ht="15.75" customHeight="1"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</row>
    <row r="286" spans="27:61" ht="15.75" customHeight="1"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</row>
    <row r="287" spans="27:61" ht="15.75" customHeight="1"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</row>
    <row r="288" spans="27:61" ht="15.75" customHeight="1"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</row>
    <row r="289" spans="27:61" ht="15.75" customHeight="1"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</row>
    <row r="290" spans="27:61" ht="15.75" customHeight="1"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</row>
    <row r="291" spans="27:61" ht="15.75" customHeight="1"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</row>
    <row r="292" spans="27:61" ht="15.75" customHeight="1"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</row>
    <row r="293" spans="27:61" ht="15.75" customHeight="1"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</row>
    <row r="294" spans="27:61" ht="15.75" customHeight="1"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</row>
    <row r="295" spans="27:61" ht="15.75" customHeight="1"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</row>
    <row r="296" spans="27:61" ht="15.75" customHeight="1"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</row>
    <row r="297" spans="27:61" ht="15.75" customHeight="1"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</row>
    <row r="298" spans="27:61" ht="15.75" customHeight="1"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</row>
    <row r="299" spans="27:61" ht="15.75" customHeight="1"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</row>
    <row r="300" spans="27:61" ht="15.75" customHeight="1"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</row>
    <row r="301" spans="27:61" ht="15.75" customHeight="1"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</row>
    <row r="302" spans="27:61" ht="15.75" customHeight="1"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</row>
    <row r="303" spans="27:61" ht="15.75" customHeight="1"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</row>
    <row r="304" spans="27:61" ht="15.75" customHeight="1"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</row>
    <row r="305" spans="27:61" ht="15.75" customHeight="1"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</row>
    <row r="306" spans="27:61" ht="15.75" customHeight="1"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</row>
    <row r="307" spans="27:61" ht="15.75" customHeight="1"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</row>
    <row r="308" spans="27:61" ht="15.75" customHeight="1"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</row>
    <row r="309" spans="27:61" ht="15.75" customHeight="1"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</row>
    <row r="310" spans="27:61" ht="15.75" customHeight="1"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</row>
    <row r="311" spans="27:61" ht="15.75" customHeight="1"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</row>
    <row r="312" spans="27:61" ht="15.75" customHeight="1"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</row>
    <row r="313" spans="27:61" ht="15.75" customHeight="1"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</row>
    <row r="314" spans="27:61" ht="15.75" customHeight="1"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</row>
    <row r="315" spans="27:61" ht="15.75" customHeight="1"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</row>
    <row r="316" spans="27:61" ht="15.75" customHeight="1"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</row>
    <row r="317" spans="27:61" ht="15.75" customHeight="1"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</row>
    <row r="318" spans="27:61" ht="15.75" customHeight="1"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</row>
    <row r="319" spans="27:61" ht="15.75" customHeight="1"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</row>
    <row r="320" spans="27:61" ht="15.75" customHeight="1"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</row>
    <row r="321" spans="27:61" ht="15.75" customHeight="1"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</row>
    <row r="322" spans="27:61" ht="15.75" customHeight="1"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</row>
    <row r="323" spans="27:61" ht="15.75" customHeight="1"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</row>
    <row r="324" spans="27:61" ht="15.75" customHeight="1"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</row>
    <row r="325" spans="27:61" ht="15.75" customHeight="1"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</row>
    <row r="326" spans="27:61" ht="15.75" customHeight="1"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</row>
    <row r="327" spans="27:61" ht="15.75" customHeight="1"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</row>
    <row r="328" spans="27:61" ht="15.75" customHeight="1"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</row>
    <row r="329" spans="27:61" ht="15.75" customHeight="1"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</row>
    <row r="330" spans="27:61" ht="15.75" customHeight="1"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</row>
    <row r="331" spans="27:61" ht="15.75" customHeight="1"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</row>
    <row r="332" spans="27:61" ht="15.75" customHeight="1"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</row>
    <row r="333" spans="27:61" ht="15.75" customHeight="1"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</row>
    <row r="334" spans="27:61" ht="15.75" customHeight="1"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</row>
    <row r="335" spans="27:61" ht="15.75" customHeight="1"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</row>
    <row r="336" spans="27:61" ht="15.75" customHeight="1"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</row>
    <row r="337" spans="27:61" ht="15.75" customHeight="1"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</row>
    <row r="338" spans="27:61" ht="15.75" customHeight="1"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</row>
    <row r="339" spans="27:61" ht="15.75" customHeight="1"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</row>
    <row r="340" spans="27:61" ht="15.75" customHeight="1"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</row>
    <row r="341" spans="27:61" ht="15.75" customHeight="1"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</row>
    <row r="342" spans="27:61" ht="15.75" customHeight="1"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</row>
    <row r="343" spans="27:61" ht="15.75" customHeight="1"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</row>
    <row r="344" spans="27:61" ht="15.75" customHeight="1"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</row>
    <row r="345" spans="27:61" ht="15.75" customHeight="1"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</row>
    <row r="346" spans="27:61" ht="15.75" customHeight="1"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</row>
    <row r="347" spans="27:61" ht="15.75" customHeight="1"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</row>
    <row r="348" spans="27:61" ht="15.75" customHeight="1"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</row>
    <row r="349" spans="27:61" ht="15.75" customHeight="1"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</row>
    <row r="350" spans="27:61" ht="15.75" customHeight="1"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</row>
    <row r="351" spans="27:61" ht="15.75" customHeight="1"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</row>
    <row r="352" spans="27:61" ht="15.75" customHeight="1"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</row>
    <row r="353" spans="27:61" ht="15.75" customHeight="1"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</row>
    <row r="354" spans="27:61" ht="15.75" customHeight="1"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</row>
    <row r="355" spans="27:61" ht="15.75" customHeight="1"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</row>
    <row r="356" spans="27:61" ht="15.75" customHeight="1"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</row>
    <row r="357" spans="27:61" ht="15.75" customHeight="1"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</row>
    <row r="358" spans="27:61" ht="15.75" customHeight="1"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</row>
    <row r="359" spans="27:61" ht="15.75" customHeight="1"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</row>
    <row r="360" spans="27:61" ht="15.75" customHeight="1"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</row>
    <row r="361" spans="27:61" ht="15.75" customHeight="1"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</row>
    <row r="362" spans="27:61" ht="15.75" customHeight="1"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</row>
    <row r="363" spans="27:61" ht="15.75" customHeight="1"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</row>
    <row r="364" spans="27:61" ht="15.75" customHeight="1"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</row>
    <row r="365" spans="27:61" ht="15.75" customHeight="1"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</row>
    <row r="366" spans="27:61" ht="15.75" customHeight="1"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</row>
    <row r="367" spans="27:61" ht="15.75" customHeight="1"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</row>
    <row r="368" spans="27:61" ht="15.75" customHeight="1"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</row>
    <row r="369" spans="27:61" ht="15.75" customHeight="1"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</row>
    <row r="370" spans="27:61" ht="15.75" customHeight="1"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</row>
    <row r="371" spans="27:61" ht="15.75" customHeight="1"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</row>
    <row r="372" spans="27:61" ht="15.75" customHeight="1"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</row>
    <row r="373" spans="27:61" ht="15.75" customHeight="1"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</row>
    <row r="374" spans="27:61" ht="15.75" customHeight="1"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</row>
    <row r="375" spans="27:61" ht="15.75" customHeight="1"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</row>
    <row r="376" spans="27:61" ht="15.75" customHeight="1"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</row>
    <row r="377" spans="27:61" ht="15.75" customHeight="1"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</row>
    <row r="378" spans="27:61" ht="15.75" customHeight="1"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</row>
    <row r="379" spans="27:61" ht="15.75" customHeight="1"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</row>
    <row r="380" spans="27:61" ht="15.75" customHeight="1"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</row>
    <row r="381" spans="27:61" ht="15.75" customHeight="1"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</row>
    <row r="382" spans="27:61" ht="15.75" customHeight="1"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</row>
    <row r="383" spans="27:61" ht="15.75" customHeight="1"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</row>
    <row r="384" spans="27:61" ht="15.75" customHeight="1"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</row>
    <row r="385" spans="27:61" ht="15.75" customHeight="1"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</row>
    <row r="386" spans="27:61" ht="15.75" customHeight="1"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</row>
    <row r="387" spans="27:61" ht="15.75" customHeight="1"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</row>
    <row r="388" spans="27:61" ht="15.75" customHeight="1"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</row>
    <row r="389" spans="27:61" ht="15.75" customHeight="1"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</row>
    <row r="390" spans="27:61" ht="15.75" customHeight="1"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</row>
    <row r="391" spans="27:61" ht="15.75" customHeight="1"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</row>
    <row r="392" spans="27:61" ht="15.75" customHeight="1"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</row>
    <row r="393" spans="27:61" ht="15.75" customHeight="1"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</row>
    <row r="394" spans="27:61" ht="15.75" customHeight="1"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</row>
    <row r="395" spans="27:61" ht="15.75" customHeight="1"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</row>
    <row r="396" spans="27:61" ht="15.75" customHeight="1"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</row>
    <row r="397" spans="27:61" ht="15.75" customHeight="1"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</row>
    <row r="398" spans="27:61" ht="15.75" customHeight="1"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</row>
    <row r="399" spans="27:61" ht="15.75" customHeight="1"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</row>
    <row r="400" spans="27:61" ht="15.75" customHeight="1"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</row>
    <row r="401" spans="27:61" ht="15.75" customHeight="1"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</row>
    <row r="402" spans="27:61" ht="15.75" customHeight="1"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</row>
    <row r="403" spans="27:61" ht="15.75" customHeight="1"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</row>
    <row r="404" spans="27:61" ht="15.75" customHeight="1"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</row>
    <row r="405" spans="27:61" ht="15.75" customHeight="1"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</row>
    <row r="406" spans="27:61" ht="15.75" customHeight="1"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</row>
    <row r="407" spans="27:61" ht="15.75" customHeight="1"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</row>
    <row r="408" spans="27:61" ht="15.75" customHeight="1"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</row>
    <row r="409" spans="27:61" ht="15.75" customHeight="1"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</row>
    <row r="410" spans="27:61" ht="15.75" customHeight="1"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</row>
    <row r="411" spans="27:61" ht="15.75" customHeight="1"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</row>
    <row r="412" spans="27:61" ht="15.75" customHeight="1"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</row>
    <row r="413" spans="27:61" ht="15.75" customHeight="1"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</row>
    <row r="414" spans="27:61" ht="15.75" customHeight="1"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</row>
    <row r="415" spans="27:61" ht="15.75" customHeight="1"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</row>
    <row r="416" spans="27:61" ht="15.75" customHeight="1"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</row>
    <row r="417" spans="27:61" ht="15.75" customHeight="1"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</row>
    <row r="418" spans="27:61" ht="15.75" customHeight="1"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</row>
    <row r="419" spans="27:61" ht="15.75" customHeight="1"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</row>
    <row r="420" spans="27:61" ht="15.75" customHeight="1"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</row>
    <row r="421" spans="27:61" ht="15.75" customHeight="1"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</row>
    <row r="422" spans="27:61" ht="15.75" customHeight="1"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</row>
    <row r="423" spans="27:61" ht="15.75" customHeight="1"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</row>
    <row r="424" spans="27:61" ht="15.75" customHeight="1"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</row>
    <row r="425" spans="27:61" ht="15.75" customHeight="1"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</row>
    <row r="426" spans="27:61" ht="15.75" customHeight="1"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</row>
    <row r="427" spans="27:61" ht="15.75" customHeight="1"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</row>
    <row r="428" spans="27:61" ht="15.75" customHeight="1"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</row>
    <row r="429" spans="27:61" ht="15.75" customHeight="1"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</row>
    <row r="430" spans="27:61" ht="15.75" customHeight="1"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</row>
    <row r="431" spans="27:61" ht="15.75" customHeight="1"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</row>
    <row r="432" spans="27:61" ht="15.75" customHeight="1"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</row>
    <row r="433" spans="27:61" ht="15.75" customHeight="1"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</row>
    <row r="434" spans="27:61" ht="15.75" customHeight="1"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</row>
    <row r="435" spans="27:61" ht="15.75" customHeight="1"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</row>
    <row r="436" spans="27:61" ht="15.75" customHeight="1"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</row>
    <row r="437" spans="27:61" ht="15.75" customHeight="1"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</row>
    <row r="438" spans="27:61" ht="15.75" customHeight="1"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</row>
    <row r="439" spans="27:61" ht="15.75" customHeight="1"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</row>
    <row r="440" spans="27:61" ht="15.75" customHeight="1"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</row>
    <row r="441" spans="27:61" ht="15.75" customHeight="1"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</row>
    <row r="442" spans="27:61" ht="15.75" customHeight="1"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</row>
    <row r="443" spans="27:61" ht="15.75" customHeight="1"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</row>
    <row r="444" spans="27:61" ht="15.75" customHeight="1"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</row>
    <row r="445" spans="27:61" ht="15.75" customHeight="1"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</row>
    <row r="446" spans="27:61" ht="15.75" customHeight="1"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</row>
    <row r="447" spans="27:61" ht="15.75" customHeight="1"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</row>
    <row r="448" spans="27:61" ht="15.75" customHeight="1"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</row>
    <row r="449" spans="27:61" ht="15.75" customHeight="1"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</row>
    <row r="450" spans="27:61" ht="15.75" customHeight="1"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</row>
    <row r="451" spans="27:61" ht="15.75" customHeight="1"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</row>
    <row r="452" spans="27:61" ht="15.75" customHeight="1"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</row>
    <row r="453" spans="27:61" ht="15.75" customHeight="1"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</row>
    <row r="454" spans="27:61" ht="15.75" customHeight="1"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</row>
    <row r="455" spans="27:61" ht="15.75" customHeight="1"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</row>
    <row r="456" spans="27:61" ht="15.75" customHeight="1"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</row>
    <row r="457" spans="27:61" ht="15.75" customHeight="1"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</row>
    <row r="458" spans="27:61" ht="15.75" customHeight="1"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</row>
    <row r="459" spans="27:61" ht="15.75" customHeight="1"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</row>
    <row r="460" spans="27:61" ht="15.75" customHeight="1"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</row>
    <row r="461" spans="27:61" ht="15.75" customHeight="1"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</row>
    <row r="462" spans="27:61" ht="15.75" customHeight="1"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</row>
    <row r="463" spans="27:61" ht="15.75" customHeight="1"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</row>
    <row r="464" spans="27:61" ht="15.75" customHeight="1"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</row>
    <row r="465" spans="27:61" ht="15.75" customHeight="1"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</row>
    <row r="466" spans="27:61" ht="15.75" customHeight="1"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</row>
    <row r="467" spans="27:61" ht="15.75" customHeight="1"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</row>
    <row r="468" spans="27:61" ht="15.75" customHeight="1"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</row>
    <row r="469" spans="27:61" ht="15.75" customHeight="1"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</row>
    <row r="470" spans="27:61" ht="15.75" customHeight="1"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</row>
    <row r="471" spans="27:61" ht="15.75" customHeight="1"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</row>
    <row r="472" spans="27:61" ht="15.75" customHeight="1"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</row>
    <row r="473" spans="27:61" ht="15.75" customHeight="1"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</row>
    <row r="474" spans="27:61" ht="15.75" customHeight="1"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</row>
    <row r="475" spans="27:61" ht="15.75" customHeight="1"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</row>
    <row r="476" spans="27:61" ht="15.75" customHeight="1"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</row>
    <row r="477" spans="27:61" ht="15.75" customHeight="1"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</row>
    <row r="478" spans="27:61" ht="15.75" customHeight="1"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</row>
    <row r="479" spans="27:61" ht="15.75" customHeight="1"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</row>
    <row r="480" spans="27:61" ht="15.75" customHeight="1"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</row>
    <row r="481" spans="27:61" ht="15.75" customHeight="1"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</row>
    <row r="482" spans="27:61" ht="15.75" customHeight="1"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</row>
    <row r="483" spans="27:61" ht="15.75" customHeight="1"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</row>
    <row r="484" spans="27:61" ht="15.75" customHeight="1"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</row>
    <row r="485" spans="27:61" ht="15.75" customHeight="1"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</row>
    <row r="486" spans="27:61" ht="15.75" customHeight="1"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</row>
    <row r="487" spans="27:61" ht="15.75" customHeight="1"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</row>
    <row r="488" spans="27:61" ht="15.75" customHeight="1"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</row>
    <row r="489" spans="27:61" ht="15.75" customHeight="1"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</row>
    <row r="490" spans="27:61" ht="15.75" customHeight="1"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</row>
    <row r="491" spans="27:61" ht="15.75" customHeight="1"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</row>
    <row r="492" spans="27:61" ht="15.75" customHeight="1"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</row>
    <row r="493" spans="27:61" ht="15.75" customHeight="1"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</row>
    <row r="494" spans="27:61" ht="15.75" customHeight="1"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</row>
    <row r="495" spans="27:61" ht="15.75" customHeight="1"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</row>
    <row r="496" spans="27:61" ht="15.75" customHeight="1"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</row>
    <row r="497" spans="27:61" ht="15.75" customHeight="1"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</row>
    <row r="498" spans="27:61" ht="15.75" customHeight="1"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</row>
    <row r="499" spans="27:61" ht="15.75" customHeight="1"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</row>
    <row r="500" spans="27:61" ht="15.75" customHeight="1"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</row>
    <row r="501" spans="27:61" ht="15.75" customHeight="1"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</row>
    <row r="502" spans="27:61" ht="15.75" customHeight="1"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</row>
    <row r="503" spans="27:61" ht="15.75" customHeight="1"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</row>
    <row r="504" spans="27:61" ht="15.75" customHeight="1"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</row>
    <row r="505" spans="27:61" ht="15.75" customHeight="1"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</row>
    <row r="506" spans="27:61" ht="15.75" customHeight="1"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</row>
    <row r="507" spans="27:61" ht="15.75" customHeight="1"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</row>
    <row r="508" spans="27:61" ht="15.75" customHeight="1"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</row>
    <row r="509" spans="27:61" ht="15.75" customHeight="1"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</row>
    <row r="510" spans="27:61" ht="15.75" customHeight="1"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</row>
    <row r="511" spans="27:61" ht="15.75" customHeight="1"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</row>
    <row r="512" spans="27:61" ht="15.75" customHeight="1"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</row>
    <row r="513" spans="27:61" ht="15.75" customHeight="1"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</row>
    <row r="514" spans="27:61" ht="15.75" customHeight="1"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</row>
    <row r="515" spans="27:61" ht="15.75" customHeight="1"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</row>
    <row r="516" spans="27:61" ht="15.75" customHeight="1"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</row>
    <row r="517" spans="27:61" ht="15.75" customHeight="1"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</row>
    <row r="518" spans="27:61" ht="15.75" customHeight="1"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</row>
    <row r="519" spans="27:61" ht="15.75" customHeight="1"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</row>
    <row r="520" spans="27:61" ht="15.75" customHeight="1"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</row>
    <row r="521" spans="27:61" ht="15.75" customHeight="1"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</row>
    <row r="522" spans="27:61" ht="15.75" customHeight="1"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</row>
    <row r="523" spans="27:61" ht="15.75" customHeight="1"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</row>
    <row r="524" spans="27:61" ht="15.75" customHeight="1"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</row>
    <row r="525" spans="27:61" ht="15.75" customHeight="1"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</row>
    <row r="526" spans="27:61" ht="15.75" customHeight="1"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</row>
    <row r="527" spans="27:61" ht="15.75" customHeight="1"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</row>
    <row r="528" spans="27:61" ht="15.75" customHeight="1"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</row>
    <row r="529" spans="27:61" ht="15.75" customHeight="1"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</row>
    <row r="530" spans="27:61" ht="15.75" customHeight="1"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</row>
    <row r="531" spans="27:61" ht="15.75" customHeight="1"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</row>
    <row r="532" spans="27:61" ht="15.75" customHeight="1"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</row>
    <row r="533" spans="27:61" ht="15.75" customHeight="1"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</row>
    <row r="534" spans="27:61" ht="15.75" customHeight="1"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</row>
    <row r="535" spans="27:61" ht="15.75" customHeight="1"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</row>
    <row r="536" spans="27:61" ht="15.75" customHeight="1"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</row>
    <row r="537" spans="27:61" ht="15.75" customHeight="1"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</row>
    <row r="538" spans="27:61" ht="15.75" customHeight="1"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</row>
    <row r="539" spans="27:61" ht="15.75" customHeight="1"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</row>
    <row r="540" spans="27:61" ht="15.75" customHeight="1"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</row>
    <row r="541" spans="27:61" ht="15.75" customHeight="1"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</row>
    <row r="542" spans="27:61" ht="15.75" customHeight="1"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</row>
    <row r="543" spans="27:61" ht="15.75" customHeight="1"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</row>
    <row r="544" spans="27:61" ht="15.75" customHeight="1"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</row>
    <row r="545" spans="27:61" ht="15.75" customHeight="1"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</row>
    <row r="546" spans="27:61" ht="15.75" customHeight="1"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</row>
    <row r="547" spans="27:61" ht="15.75" customHeight="1"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</row>
    <row r="548" spans="27:61" ht="15.75" customHeight="1"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</row>
    <row r="549" spans="27:61" ht="15.75" customHeight="1"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</row>
    <row r="550" spans="27:61" ht="15.75" customHeight="1"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</row>
    <row r="551" spans="27:61" ht="15.75" customHeight="1"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</row>
    <row r="552" spans="27:61" ht="15.75" customHeight="1"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</row>
    <row r="553" spans="27:61" ht="15.75" customHeight="1"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</row>
    <row r="554" spans="27:61" ht="15.75" customHeight="1"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</row>
    <row r="555" spans="27:61" ht="15.75" customHeight="1"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</row>
    <row r="556" spans="27:61" ht="15.75" customHeight="1"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</row>
    <row r="557" spans="27:61" ht="15.75" customHeight="1"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</row>
    <row r="558" spans="27:61" ht="15.75" customHeight="1"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</row>
    <row r="559" spans="27:61" ht="15.75" customHeight="1"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</row>
    <row r="560" spans="27:61" ht="15.75" customHeight="1"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</row>
    <row r="561" spans="27:61" ht="15.75" customHeight="1"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</row>
    <row r="562" spans="27:61" ht="15.75" customHeight="1"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</row>
    <row r="563" spans="27:61" ht="15.75" customHeight="1"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</row>
    <row r="564" spans="27:61" ht="15.75" customHeight="1"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</row>
    <row r="565" spans="27:61" ht="15.75" customHeight="1"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</row>
    <row r="566" spans="27:61" ht="15.75" customHeight="1"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</row>
    <row r="567" spans="27:61" ht="15.75" customHeight="1"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</row>
    <row r="568" spans="27:61" ht="15.75" customHeight="1"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</row>
    <row r="569" spans="27:61" ht="15.75" customHeight="1"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</row>
    <row r="570" spans="27:61" ht="15.75" customHeight="1"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</row>
    <row r="571" spans="27:61" ht="15.75" customHeight="1"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</row>
    <row r="572" spans="27:61" ht="15.75" customHeight="1"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</row>
    <row r="573" spans="27:61" ht="15.75" customHeight="1"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</row>
    <row r="574" spans="27:61" ht="15.75" customHeight="1"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</row>
    <row r="575" spans="27:61" ht="15.75" customHeight="1"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</row>
    <row r="576" spans="27:61" ht="15.75" customHeight="1"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</row>
    <row r="577" spans="27:61" ht="15.75" customHeight="1"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</row>
    <row r="578" spans="27:61" ht="15.75" customHeight="1"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</row>
    <row r="579" spans="27:61" ht="15.75" customHeight="1"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</row>
    <row r="580" spans="27:61" ht="15.75" customHeight="1"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</row>
    <row r="581" spans="27:61" ht="15.75" customHeight="1"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</row>
    <row r="582" spans="27:61" ht="15.75" customHeight="1"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</row>
    <row r="583" spans="27:61" ht="15.75" customHeight="1"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</row>
    <row r="584" spans="27:61" ht="15.75" customHeight="1"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</row>
    <row r="585" spans="27:61" ht="15.75" customHeight="1"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</row>
    <row r="586" spans="27:61" ht="15.75" customHeight="1"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</row>
    <row r="587" spans="27:61" ht="15.75" customHeight="1"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</row>
    <row r="588" spans="27:61" ht="15.75" customHeight="1"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</row>
    <row r="589" spans="27:61" ht="15.75" customHeight="1"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</row>
    <row r="590" spans="27:61" ht="15.75" customHeight="1"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</row>
    <row r="591" spans="27:61" ht="15.75" customHeight="1"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</row>
    <row r="592" spans="27:61" ht="15.75" customHeight="1"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</row>
    <row r="593" spans="27:61" ht="15.75" customHeight="1"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</row>
    <row r="594" spans="27:61" ht="15.75" customHeight="1"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</row>
    <row r="595" spans="27:61" ht="15.75" customHeight="1"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</row>
    <row r="596" spans="27:61" ht="15.75" customHeight="1"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</row>
    <row r="597" spans="27:61" ht="15.75" customHeight="1"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</row>
    <row r="598" spans="27:61" ht="15.75" customHeight="1"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</row>
    <row r="599" spans="27:61" ht="15.75" customHeight="1"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</row>
    <row r="600" spans="27:61" ht="15.75" customHeight="1"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</row>
    <row r="601" spans="27:61" ht="15.75" customHeight="1"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</row>
    <row r="602" spans="27:61" ht="15.75" customHeight="1"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</row>
    <row r="603" spans="27:61" ht="15.75" customHeight="1"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</row>
    <row r="604" spans="27:61" ht="15.75" customHeight="1"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</row>
    <row r="605" spans="27:61" ht="15.75" customHeight="1"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</row>
    <row r="606" spans="27:61" ht="15.75" customHeight="1"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</row>
    <row r="607" spans="27:61" ht="15.75" customHeight="1"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</row>
    <row r="608" spans="27:61" ht="15.75" customHeight="1"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</row>
    <row r="609" spans="27:61" ht="15.75" customHeight="1"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</row>
    <row r="610" spans="27:61" ht="15.75" customHeight="1"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</row>
    <row r="611" spans="27:61" ht="15.75" customHeight="1"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</row>
    <row r="612" spans="27:61" ht="15.75" customHeight="1"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</row>
    <row r="613" spans="27:61" ht="15.75" customHeight="1"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</row>
    <row r="614" spans="27:61" ht="15.75" customHeight="1"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</row>
    <row r="615" spans="27:61" ht="15.75" customHeight="1"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</row>
    <row r="616" spans="27:61" ht="15.75" customHeight="1"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</row>
    <row r="617" spans="27:61" ht="15.75" customHeight="1"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</row>
    <row r="618" spans="27:61" ht="15.75" customHeight="1"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</row>
    <row r="619" spans="27:61" ht="15.75" customHeight="1"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</row>
    <row r="620" spans="27:61" ht="15.75" customHeight="1"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</row>
    <row r="621" spans="27:61" ht="15.75" customHeight="1"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</row>
    <row r="622" spans="27:61" ht="15.75" customHeight="1"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</row>
    <row r="623" spans="27:61" ht="15.75" customHeight="1"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</row>
    <row r="624" spans="27:61" ht="15.75" customHeight="1"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</row>
    <row r="625" spans="27:61" ht="15.75" customHeight="1"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</row>
    <row r="626" spans="27:61" ht="15.75" customHeight="1"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</row>
    <row r="627" spans="27:61" ht="15.75" customHeight="1"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</row>
    <row r="628" spans="27:61" ht="15.75" customHeight="1"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</row>
    <row r="629" spans="27:61" ht="15.75" customHeight="1"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</row>
    <row r="630" spans="27:61" ht="15.75" customHeight="1"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</row>
    <row r="631" spans="27:61" ht="15.75" customHeight="1"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</row>
    <row r="632" spans="27:61" ht="15.75" customHeight="1"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</row>
    <row r="633" spans="27:61" ht="15.75" customHeight="1"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</row>
    <row r="634" spans="27:61" ht="15.75" customHeight="1"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</row>
    <row r="635" spans="27:61" ht="15.75" customHeight="1"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</row>
    <row r="636" spans="27:61" ht="15.75" customHeight="1"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</row>
    <row r="637" spans="27:61" ht="15.75" customHeight="1"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</row>
    <row r="638" spans="27:61" ht="15.75" customHeight="1"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</row>
    <row r="639" spans="27:61" ht="15.75" customHeight="1"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</row>
    <row r="640" spans="27:61" ht="15.75" customHeight="1"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</row>
    <row r="641" spans="27:61" ht="15.75" customHeight="1"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</row>
    <row r="642" spans="27:61" ht="15.75" customHeight="1"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</row>
    <row r="643" spans="27:61" ht="15.75" customHeight="1"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</row>
    <row r="644" spans="27:61" ht="15.75" customHeight="1"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</row>
    <row r="645" spans="27:61" ht="15.75" customHeight="1"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</row>
    <row r="646" spans="27:61" ht="15.75" customHeight="1"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</row>
    <row r="647" spans="27:61" ht="15.75" customHeight="1"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</row>
    <row r="648" spans="27:61" ht="15.75" customHeight="1"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</row>
    <row r="649" spans="27:61" ht="15.75" customHeight="1"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</row>
    <row r="650" spans="27:61" ht="15.75" customHeight="1"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</row>
    <row r="651" spans="27:61" ht="15.75" customHeight="1"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</row>
    <row r="652" spans="27:61" ht="15.75" customHeight="1"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</row>
    <row r="653" spans="27:61" ht="15.75" customHeight="1"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</row>
    <row r="654" spans="27:61" ht="15.75" customHeight="1"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</row>
    <row r="655" spans="27:61" ht="15.75" customHeight="1"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</row>
    <row r="656" spans="27:61" ht="15.75" customHeight="1"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</row>
    <row r="657" spans="27:61" ht="15.75" customHeight="1"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</row>
    <row r="658" spans="27:61" ht="15.75" customHeight="1"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</row>
    <row r="659" spans="27:61" ht="15.75" customHeight="1"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</row>
    <row r="660" spans="27:61" ht="15.75" customHeight="1"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</row>
    <row r="661" spans="27:61" ht="15.75" customHeight="1"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</row>
    <row r="662" spans="27:61" ht="15.75" customHeight="1"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</row>
    <row r="663" spans="27:61" ht="15.75" customHeight="1"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</row>
    <row r="664" spans="27:61" ht="15.75" customHeight="1"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</row>
    <row r="665" spans="27:61" ht="15.75" customHeight="1"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</row>
    <row r="666" spans="27:61" ht="15.75" customHeight="1"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</row>
    <row r="667" spans="27:61" ht="15.75" customHeight="1"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</row>
    <row r="668" spans="27:61" ht="15.75" customHeight="1"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</row>
    <row r="669" spans="27:61" ht="15.75" customHeight="1"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</row>
    <row r="670" spans="27:61" ht="15.75" customHeight="1"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</row>
    <row r="671" spans="27:61" ht="15.75" customHeight="1"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</row>
    <row r="672" spans="27:61" ht="15.75" customHeight="1"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</row>
    <row r="673" spans="27:61" ht="15.75" customHeight="1"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</row>
    <row r="674" spans="27:61" ht="15.75" customHeight="1"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</row>
    <row r="675" spans="27:61" ht="15.75" customHeight="1"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</row>
    <row r="676" spans="27:61" ht="15.75" customHeight="1"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</row>
    <row r="677" spans="27:61" ht="15.75" customHeight="1"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</row>
    <row r="678" spans="27:61" ht="15.75" customHeight="1"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</row>
    <row r="679" spans="27:61" ht="15.75" customHeight="1"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</row>
    <row r="680" spans="27:61" ht="15.75" customHeight="1"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</row>
    <row r="681" spans="27:61" ht="15.75" customHeight="1"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</row>
    <row r="682" spans="27:61" ht="15.75" customHeight="1"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</row>
    <row r="683" spans="27:61" ht="15.75" customHeight="1"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</row>
    <row r="684" spans="27:61" ht="15.75" customHeight="1"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</row>
    <row r="685" spans="27:61" ht="15.75" customHeight="1"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</row>
    <row r="686" spans="27:61" ht="15.75" customHeight="1"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</row>
    <row r="687" spans="27:61" ht="15.75" customHeight="1"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</row>
    <row r="688" spans="27:61" ht="15.75" customHeight="1"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</row>
    <row r="689" spans="27:61" ht="15.75" customHeight="1"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</row>
    <row r="690" spans="27:61" ht="15.75" customHeight="1"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</row>
    <row r="691" spans="27:61" ht="15.75" customHeight="1"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</row>
    <row r="692" spans="27:61" ht="15.75" customHeight="1"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</row>
    <row r="693" spans="27:61" ht="15.75" customHeight="1"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</row>
    <row r="694" spans="27:61" ht="15.75" customHeight="1"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</row>
    <row r="695" spans="27:61" ht="15.75" customHeight="1"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</row>
    <row r="696" spans="27:61" ht="15.75" customHeight="1"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</row>
    <row r="697" spans="27:61" ht="15.75" customHeight="1"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</row>
    <row r="698" spans="27:61" ht="15.75" customHeight="1"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</row>
    <row r="699" spans="27:61" ht="15.75" customHeight="1"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</row>
    <row r="700" spans="27:61" ht="15.75" customHeight="1"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</row>
    <row r="701" spans="27:61" ht="15.75" customHeight="1"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</row>
    <row r="702" spans="27:61" ht="15.75" customHeight="1"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</row>
    <row r="703" spans="27:61" ht="15.75" customHeight="1"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</row>
    <row r="704" spans="27:61" ht="15.75" customHeight="1"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</row>
    <row r="705" spans="27:61" ht="15.75" customHeight="1"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</row>
    <row r="706" spans="27:61" ht="15.75" customHeight="1"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</row>
    <row r="707" spans="27:61" ht="15.75" customHeight="1"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</row>
    <row r="708" spans="27:61" ht="15.75" customHeight="1"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</row>
    <row r="709" spans="27:61" ht="15.75" customHeight="1"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</row>
    <row r="710" spans="27:61" ht="15.75" customHeight="1"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</row>
    <row r="711" spans="27:61" ht="15.75" customHeight="1"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</row>
    <row r="712" spans="27:61" ht="15.75" customHeight="1"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</row>
    <row r="713" spans="27:61" ht="15.75" customHeight="1"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</row>
    <row r="714" spans="27:61" ht="15.75" customHeight="1"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</row>
    <row r="715" spans="27:61" ht="15.75" customHeight="1"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</row>
    <row r="716" spans="27:61" ht="15.75" customHeight="1"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</row>
    <row r="717" spans="27:61" ht="15.75" customHeight="1"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</row>
    <row r="718" spans="27:61" ht="15.75" customHeight="1"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</row>
    <row r="719" spans="27:61" ht="15.75" customHeight="1"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</row>
    <row r="720" spans="27:61" ht="15.75" customHeight="1"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</row>
    <row r="721" spans="27:61" ht="15.75" customHeight="1"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</row>
    <row r="722" spans="27:61" ht="15.75" customHeight="1"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</row>
    <row r="723" spans="27:61" ht="15.75" customHeight="1"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</row>
    <row r="724" spans="27:61" ht="15.75" customHeight="1"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</row>
    <row r="725" spans="27:61" ht="15.75" customHeight="1"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</row>
    <row r="726" spans="27:61" ht="15.75" customHeight="1"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</row>
    <row r="727" spans="27:61" ht="15.75" customHeight="1"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</row>
    <row r="728" spans="27:61" ht="15.75" customHeight="1"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</row>
    <row r="729" spans="27:61" ht="15.75" customHeight="1"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</row>
    <row r="730" spans="27:61" ht="15.75" customHeight="1"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</row>
    <row r="731" spans="27:61" ht="15.75" customHeight="1"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</row>
    <row r="732" spans="27:61" ht="15.75" customHeight="1"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</row>
    <row r="733" spans="27:61" ht="15.75" customHeight="1"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</row>
    <row r="734" spans="27:61" ht="15.75" customHeight="1"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</row>
    <row r="735" spans="27:61" ht="15.75" customHeight="1"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</row>
    <row r="736" spans="27:61" ht="15.75" customHeight="1"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</row>
    <row r="737" spans="27:61" ht="15.75" customHeight="1"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</row>
    <row r="738" spans="27:61" ht="15.75" customHeight="1"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</row>
    <row r="739" spans="27:61" ht="15.75" customHeight="1"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</row>
    <row r="740" spans="27:61" ht="15.75" customHeight="1"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</row>
    <row r="741" spans="27:61" ht="15.75" customHeight="1"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</row>
    <row r="742" spans="27:61" ht="15.75" customHeight="1"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</row>
    <row r="743" spans="27:61" ht="15.75" customHeight="1"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</row>
    <row r="744" spans="27:61" ht="15.75" customHeight="1"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</row>
    <row r="745" spans="27:61" ht="15.75" customHeight="1"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</row>
    <row r="746" spans="27:61" ht="15.75" customHeight="1"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</row>
    <row r="747" spans="27:61" ht="15.75" customHeight="1"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</row>
    <row r="748" spans="27:61" ht="15.75" customHeight="1"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</row>
    <row r="749" spans="27:61" ht="15.75" customHeight="1"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</row>
    <row r="750" spans="27:61" ht="15.75" customHeight="1"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</row>
    <row r="751" spans="27:61" ht="15.75" customHeight="1"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</row>
    <row r="752" spans="27:61" ht="15.75" customHeight="1"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</row>
    <row r="753" spans="27:61" ht="15.75" customHeight="1"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</row>
    <row r="754" spans="27:61" ht="15.75" customHeight="1"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</row>
    <row r="755" spans="27:61" ht="15.75" customHeight="1"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</row>
    <row r="756" spans="27:61" ht="15.75" customHeight="1"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</row>
    <row r="757" spans="27:61" ht="15.75" customHeight="1"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</row>
    <row r="758" spans="27:61" ht="15.75" customHeight="1"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</row>
    <row r="759" spans="27:61" ht="15.75" customHeight="1"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</row>
    <row r="760" spans="27:61" ht="15.75" customHeight="1"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</row>
    <row r="761" spans="27:61" ht="15.75" customHeight="1"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</row>
    <row r="762" spans="27:61" ht="15.75" customHeight="1"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</row>
    <row r="763" spans="27:61" ht="15.75" customHeight="1"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</row>
    <row r="764" spans="27:61" ht="15.75" customHeight="1"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</row>
    <row r="765" spans="27:61" ht="15.75" customHeight="1"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</row>
    <row r="766" spans="27:61" ht="15.75" customHeight="1"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</row>
    <row r="767" spans="27:61" ht="15.75" customHeight="1"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</row>
    <row r="768" spans="27:61" ht="15.75" customHeight="1"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</row>
    <row r="769" spans="27:61" ht="15.75" customHeight="1"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</row>
    <row r="770" spans="27:61" ht="15.75" customHeight="1"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</row>
    <row r="771" spans="27:61" ht="15.75" customHeight="1"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</row>
    <row r="772" spans="27:61" ht="15.75" customHeight="1"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</row>
    <row r="773" spans="27:61" ht="15.75" customHeight="1"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</row>
    <row r="774" spans="27:61" ht="15.75" customHeight="1"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</row>
    <row r="775" spans="27:61" ht="15.75" customHeight="1"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</row>
    <row r="776" spans="27:61" ht="15.75" customHeight="1"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</row>
    <row r="777" spans="27:61" ht="15.75" customHeight="1"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</row>
    <row r="778" spans="27:61" ht="15.75" customHeight="1"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</row>
    <row r="779" spans="27:61" ht="15.75" customHeight="1"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</row>
    <row r="780" spans="27:61" ht="15.75" customHeight="1"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</row>
    <row r="781" spans="27:61" ht="15.75" customHeight="1"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</row>
    <row r="782" spans="27:61" ht="15.75" customHeight="1"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</row>
    <row r="783" spans="27:61" ht="15.75" customHeight="1"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</row>
    <row r="784" spans="27:61" ht="15.75" customHeight="1"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</row>
    <row r="785" spans="27:61" ht="15.75" customHeight="1"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</row>
    <row r="786" spans="27:61" ht="15.75" customHeight="1"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</row>
    <row r="787" spans="27:61" ht="15.75" customHeight="1"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</row>
    <row r="788" spans="27:61" ht="15.75" customHeight="1"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</row>
    <row r="789" spans="27:61" ht="15.75" customHeight="1"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</row>
    <row r="790" spans="27:61" ht="15.75" customHeight="1"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</row>
    <row r="791" spans="27:61" ht="15.75" customHeight="1"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</row>
    <row r="792" spans="27:61" ht="15.75" customHeight="1"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</row>
    <row r="793" spans="27:61" ht="15.75" customHeight="1"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</row>
    <row r="794" spans="27:61" ht="15.75" customHeight="1"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</row>
    <row r="795" spans="27:61" ht="15.75" customHeight="1"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</row>
    <row r="796" spans="27:61" ht="15.75" customHeight="1"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</row>
    <row r="797" spans="27:61" ht="15.75" customHeight="1"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</row>
    <row r="798" spans="27:61" ht="15.75" customHeight="1"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</row>
    <row r="799" spans="27:61" ht="15.75" customHeight="1"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</row>
    <row r="800" spans="27:61" ht="15.75" customHeight="1"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</row>
    <row r="801" spans="27:61" ht="15.75" customHeight="1"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</row>
    <row r="802" spans="27:61" ht="15.75" customHeight="1"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</row>
    <row r="803" spans="27:61" ht="15.75" customHeight="1"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</row>
    <row r="804" spans="27:61" ht="15.75" customHeight="1"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</row>
    <row r="805" spans="27:61" ht="15.75" customHeight="1"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</row>
    <row r="806" spans="27:61" ht="15.75" customHeight="1"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</row>
    <row r="807" spans="27:61" ht="15.75" customHeight="1"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</row>
    <row r="808" spans="27:61" ht="15.75" customHeight="1"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</row>
    <row r="809" spans="27:61" ht="15.75" customHeight="1"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</row>
    <row r="810" spans="27:61" ht="15.75" customHeight="1"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</row>
    <row r="811" spans="27:61" ht="15.75" customHeight="1"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</row>
    <row r="812" spans="27:61" ht="15.75" customHeight="1"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</row>
    <row r="813" spans="27:61" ht="15.75" customHeight="1"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</row>
    <row r="814" spans="27:61" ht="15.75" customHeight="1"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</row>
    <row r="815" spans="27:61" ht="15.75" customHeight="1"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</row>
    <row r="816" spans="27:61" ht="15.75" customHeight="1"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</row>
    <row r="817" spans="27:61" ht="15.75" customHeight="1"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</row>
    <row r="818" spans="27:61" ht="15.75" customHeight="1"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</row>
    <row r="819" spans="27:61" ht="15.75" customHeight="1"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</row>
    <row r="820" spans="27:61" ht="15.75" customHeight="1"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</row>
    <row r="821" spans="27:61" ht="15.75" customHeight="1"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</row>
    <row r="822" spans="27:61" ht="15.75" customHeight="1"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</row>
    <row r="823" spans="27:61" ht="15.75" customHeight="1"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</row>
    <row r="824" spans="27:61" ht="15.75" customHeight="1"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</row>
    <row r="825" spans="27:61" ht="15.75" customHeight="1"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</row>
    <row r="826" spans="27:61" ht="15.75" customHeight="1"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</row>
    <row r="827" spans="27:61" ht="15.75" customHeight="1"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</row>
    <row r="828" spans="27:61" ht="15.75" customHeight="1"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</row>
    <row r="829" spans="27:61" ht="15.75" customHeight="1"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</row>
    <row r="830" spans="27:61" ht="15.75" customHeight="1"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</row>
    <row r="831" spans="27:61" ht="15.75" customHeight="1"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</row>
    <row r="832" spans="27:61" ht="15.75" customHeight="1"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</row>
    <row r="833" spans="27:61" ht="15.75" customHeight="1"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</row>
    <row r="834" spans="27:61" ht="15.75" customHeight="1"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</row>
    <row r="835" spans="27:61" ht="15.75" customHeight="1"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</row>
    <row r="836" spans="27:61" ht="15.75" customHeight="1"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</row>
    <row r="837" spans="27:61" ht="15.75" customHeight="1"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</row>
    <row r="838" spans="27:61" ht="15.75" customHeight="1"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</row>
    <row r="839" spans="27:61" ht="15.75" customHeight="1"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</row>
    <row r="840" spans="27:61" ht="15.75" customHeight="1"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</row>
    <row r="841" spans="27:61" ht="15.75" customHeight="1"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</row>
    <row r="842" spans="27:61" ht="15.75" customHeight="1"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</row>
    <row r="843" spans="27:61" ht="15.75" customHeight="1"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</row>
    <row r="844" spans="27:61" ht="15.75" customHeight="1"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</row>
    <row r="845" spans="27:61" ht="15.75" customHeight="1"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</row>
    <row r="846" spans="27:61" ht="15.75" customHeight="1"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</row>
    <row r="847" spans="27:61" ht="15.75" customHeight="1"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</row>
    <row r="848" spans="27:61" ht="15.75" customHeight="1"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</row>
    <row r="849" spans="27:61" ht="15.75" customHeight="1"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</row>
    <row r="850" spans="27:61" ht="15.75" customHeight="1"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</row>
    <row r="851" spans="27:61" ht="15.75" customHeight="1"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</row>
    <row r="852" spans="27:61" ht="15.75" customHeight="1"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</row>
    <row r="853" spans="27:61" ht="15.75" customHeight="1"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</row>
    <row r="854" spans="27:61" ht="15.75" customHeight="1"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</row>
    <row r="855" spans="27:61" ht="15.75" customHeight="1"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</row>
    <row r="856" spans="27:61" ht="15.75" customHeight="1"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</row>
    <row r="857" spans="27:61" ht="15.75" customHeight="1"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</row>
    <row r="858" spans="27:61" ht="15.75" customHeight="1"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</row>
    <row r="859" spans="27:61" ht="15.75" customHeight="1"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</row>
    <row r="860" spans="27:61" ht="15.75" customHeight="1"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</row>
    <row r="861" spans="27:61" ht="15.75" customHeight="1"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</row>
    <row r="862" spans="27:61" ht="15.75" customHeight="1"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</row>
    <row r="863" spans="27:61" ht="15.75" customHeight="1"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</row>
    <row r="864" spans="27:61" ht="15.75" customHeight="1"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</row>
    <row r="865" spans="27:61" ht="15.75" customHeight="1"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</row>
    <row r="866" spans="27:61" ht="15.75" customHeight="1"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</row>
    <row r="867" spans="27:61" ht="15.75" customHeight="1"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</row>
    <row r="868" spans="27:61" ht="15.75" customHeight="1"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</row>
    <row r="869" spans="27:61" ht="15.75" customHeight="1"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</row>
    <row r="870" spans="27:61" ht="15.75" customHeight="1"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</row>
    <row r="871" spans="27:61" ht="15.75" customHeight="1"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</row>
    <row r="872" spans="27:61" ht="15.75" customHeight="1"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</row>
    <row r="873" spans="27:61" ht="15.75" customHeight="1"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</row>
    <row r="874" spans="27:61" ht="15.75" customHeight="1"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</row>
    <row r="875" spans="27:61" ht="15.75" customHeight="1"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</row>
    <row r="876" spans="27:61" ht="15.75" customHeight="1"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</row>
    <row r="877" spans="27:61" ht="15.75" customHeight="1"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</row>
    <row r="878" spans="27:61" ht="15.75" customHeight="1"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</row>
    <row r="879" spans="27:61" ht="15.75" customHeight="1"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</row>
    <row r="880" spans="27:61" ht="15.75" customHeight="1"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</row>
    <row r="881" spans="27:61" ht="15.75" customHeight="1"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</row>
    <row r="882" spans="27:61" ht="15.75" customHeight="1"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</row>
    <row r="883" spans="27:61" ht="15.75" customHeight="1"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</row>
    <row r="884" spans="27:61" ht="15.75" customHeight="1"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</row>
    <row r="885" spans="27:61" ht="15.75" customHeight="1"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</row>
    <row r="886" spans="27:61" ht="15.75" customHeight="1"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</row>
    <row r="887" spans="27:61" ht="15.75" customHeight="1"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</row>
    <row r="888" spans="27:61" ht="15.75" customHeight="1"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</row>
    <row r="889" spans="27:61" ht="15.75" customHeight="1"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</row>
    <row r="890" spans="27:61" ht="15.75" customHeight="1"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</row>
    <row r="891" spans="27:61" ht="15.75" customHeight="1"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</row>
    <row r="892" spans="27:61" ht="15.75" customHeight="1"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</row>
    <row r="893" spans="27:61" ht="15.75" customHeight="1"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</row>
    <row r="894" spans="27:61" ht="15.75" customHeight="1"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</row>
    <row r="895" spans="27:61" ht="15.75" customHeight="1"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</row>
    <row r="896" spans="27:61" ht="15.75" customHeight="1"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</row>
    <row r="897" spans="27:61" ht="15.75" customHeight="1"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</row>
    <row r="898" spans="27:61" ht="15.75" customHeight="1"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</row>
    <row r="899" spans="27:61" ht="15.75" customHeight="1"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</row>
    <row r="900" spans="27:61" ht="15.75" customHeight="1"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</row>
    <row r="901" spans="27:61" ht="15.75" customHeight="1"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</row>
    <row r="902" spans="27:61" ht="15.75" customHeight="1"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</row>
    <row r="903" spans="27:61" ht="15.75" customHeight="1"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</row>
    <row r="904" spans="27:61" ht="15.75" customHeight="1"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</row>
    <row r="905" spans="27:61" ht="15.75" customHeight="1"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</row>
    <row r="906" spans="27:61" ht="15.75" customHeight="1"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</row>
    <row r="907" spans="27:61" ht="15.75" customHeight="1"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</row>
    <row r="908" spans="27:61" ht="15.75" customHeight="1"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</row>
    <row r="909" spans="27:61" ht="15.75" customHeight="1"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</row>
    <row r="910" spans="27:61" ht="15.75" customHeight="1"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</row>
    <row r="911" spans="27:61" ht="15.75" customHeight="1"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</row>
    <row r="912" spans="27:61" ht="15.75" customHeight="1"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</row>
    <row r="913" spans="27:61" ht="15.75" customHeight="1"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</row>
    <row r="914" spans="27:61" ht="15.75" customHeight="1"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</row>
    <row r="915" spans="27:61" ht="15.75" customHeight="1"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</row>
    <row r="916" spans="27:61" ht="15.75" customHeight="1"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</row>
    <row r="917" spans="27:61" ht="15.75" customHeight="1"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</row>
    <row r="918" spans="27:61" ht="15.75" customHeight="1"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</row>
    <row r="919" spans="27:61" ht="15.75" customHeight="1"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</row>
    <row r="920" spans="27:61" ht="15.75" customHeight="1"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</row>
    <row r="921" spans="27:61" ht="15.75" customHeight="1"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</row>
    <row r="922" spans="27:61" ht="15.75" customHeight="1"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</row>
    <row r="923" spans="27:61" ht="15.75" customHeight="1"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</row>
    <row r="924" spans="27:61" ht="15.75" customHeight="1"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</row>
    <row r="925" spans="27:61" ht="15.75" customHeight="1"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</row>
    <row r="926" spans="27:61" ht="15.75" customHeight="1"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</row>
    <row r="927" spans="27:61" ht="15.75" customHeight="1"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</row>
    <row r="928" spans="27:61" ht="15.75" customHeight="1"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</row>
    <row r="929" spans="27:61" ht="15.75" customHeight="1"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</row>
    <row r="930" spans="27:61" ht="15.75" customHeight="1"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</row>
    <row r="931" spans="27:61" ht="15.75" customHeight="1"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</row>
    <row r="932" spans="27:61" ht="15.75" customHeight="1"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</row>
    <row r="933" spans="27:61" ht="15.75" customHeight="1"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</row>
    <row r="934" spans="27:61" ht="15.75" customHeight="1"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</row>
    <row r="935" spans="27:61" ht="15.75" customHeight="1"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</row>
    <row r="936" spans="27:61" ht="15.75" customHeight="1"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</row>
    <row r="937" spans="27:61" ht="15.75" customHeight="1"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</row>
    <row r="938" spans="27:61" ht="15.75" customHeight="1"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</row>
    <row r="939" spans="27:61" ht="15.75" customHeight="1"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</row>
    <row r="940" spans="27:61" ht="15.75" customHeight="1"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</row>
    <row r="941" spans="27:61" ht="15.75" customHeight="1"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</row>
    <row r="942" spans="27:61" ht="15.75" customHeight="1"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</row>
    <row r="943" spans="27:61" ht="15.75" customHeight="1"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</row>
    <row r="944" spans="27:61" ht="15.75" customHeight="1"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</row>
    <row r="945" spans="27:61" ht="15.75" customHeight="1"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</row>
    <row r="946" spans="27:61" ht="15.75" customHeight="1"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</row>
    <row r="947" spans="27:61" ht="15.75" customHeight="1"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</row>
    <row r="948" spans="27:61" ht="15.75" customHeight="1"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</row>
    <row r="949" spans="27:61" ht="15.75" customHeight="1"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</row>
    <row r="950" spans="27:61" ht="15.75" customHeight="1"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</row>
    <row r="951" spans="27:61" ht="15.75" customHeight="1"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</row>
    <row r="952" spans="27:61" ht="15.75" customHeight="1"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</row>
    <row r="953" spans="27:61" ht="15.75" customHeight="1"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</row>
    <row r="954" spans="27:61" ht="15.75" customHeight="1"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</row>
    <row r="955" spans="27:61" ht="15.75" customHeight="1"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</row>
    <row r="956" spans="27:61" ht="15.75" customHeight="1"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</row>
    <row r="957" spans="27:61" ht="15.75" customHeight="1"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</row>
    <row r="958" spans="27:61" ht="15.75" customHeight="1"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</row>
    <row r="959" spans="27:61" ht="15.75" customHeight="1"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</row>
    <row r="960" spans="27:61" ht="15.75" customHeight="1"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</row>
    <row r="961" spans="27:61" ht="15.75" customHeight="1"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</row>
    <row r="962" spans="27:61" ht="15.75" customHeight="1"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</row>
    <row r="963" spans="27:61" ht="15.75" customHeight="1"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</row>
    <row r="964" spans="27:61" ht="15.75" customHeight="1"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</row>
    <row r="965" spans="27:61" ht="15.75" customHeight="1"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</row>
    <row r="966" spans="27:61" ht="15.75" customHeight="1"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</row>
    <row r="967" spans="27:61" ht="15.75" customHeight="1"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</row>
    <row r="968" spans="27:61" ht="15.75" customHeight="1"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</row>
    <row r="969" spans="27:61" ht="15.75" customHeight="1"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</row>
    <row r="970" spans="27:61" ht="15.75" customHeight="1"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</row>
    <row r="971" spans="27:61" ht="15.75" customHeight="1"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</row>
    <row r="972" spans="27:61" ht="15.75" customHeight="1"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</row>
    <row r="973" spans="27:61" ht="15.75" customHeight="1"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</row>
    <row r="974" spans="27:61" ht="15.75" customHeight="1"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</row>
    <row r="975" spans="27:61" ht="15.75" customHeight="1"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</row>
    <row r="976" spans="27:61" ht="15.75" customHeight="1"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</row>
    <row r="977" spans="27:61" ht="15.75" customHeight="1"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</row>
    <row r="978" spans="27:61" ht="15.75" customHeight="1"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</row>
    <row r="979" spans="27:61" ht="15.75" customHeight="1"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</row>
    <row r="980" spans="27:61" ht="15.75" customHeight="1"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</row>
    <row r="981" spans="27:61" ht="15.75" customHeight="1"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</row>
    <row r="982" spans="27:61" ht="15.75" customHeight="1"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</row>
    <row r="983" spans="27:61" ht="15.75" customHeight="1"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</row>
    <row r="984" spans="27:61" ht="15.75" customHeight="1"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</row>
    <row r="985" spans="27:61" ht="15.75" customHeight="1"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</row>
    <row r="986" spans="27:61" ht="15.75" customHeight="1"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</row>
    <row r="987" spans="27:61" ht="15.75" customHeight="1"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</row>
    <row r="988" spans="27:61" ht="15.75" customHeight="1"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</row>
    <row r="989" spans="27:61" ht="15.75" customHeight="1"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</row>
    <row r="990" spans="27:61" ht="15.75" customHeight="1"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</row>
    <row r="991" spans="27:61" ht="15.75" customHeight="1"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</row>
    <row r="992" spans="27:61" ht="15.75" customHeight="1"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</row>
    <row r="993" spans="27:61" ht="15.75" customHeight="1"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</row>
    <row r="994" spans="27:61" ht="15.75" customHeight="1"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</row>
    <row r="995" spans="27:61" ht="15.75" customHeight="1"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</row>
    <row r="996" spans="27:61" ht="15.75" customHeight="1"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</row>
    <row r="997" spans="27:61" ht="15.75" customHeight="1"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</row>
    <row r="998" spans="27:61" ht="15.75" customHeight="1"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</row>
    <row r="999" spans="27:61" ht="15.75" customHeight="1"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</row>
    <row r="1000" spans="27:61" ht="15.75" customHeight="1"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</row>
  </sheetData>
  <mergeCells count="3">
    <mergeCell ref="A1:B1"/>
    <mergeCell ref="E1:V1"/>
    <mergeCell ref="W1:W3"/>
  </mergeCells>
  <conditionalFormatting sqref="D4:D40">
    <cfRule type="cellIs" dxfId="28" priority="1" operator="equal">
      <formula>"X"</formula>
    </cfRule>
  </conditionalFormatting>
  <conditionalFormatting sqref="G4:G40">
    <cfRule type="cellIs" dxfId="27" priority="2" operator="equal">
      <formula>"X"</formula>
    </cfRule>
  </conditionalFormatting>
  <conditionalFormatting sqref="J4:L40">
    <cfRule type="cellIs" dxfId="26" priority="3" operator="equal">
      <formula>"X"</formula>
    </cfRule>
  </conditionalFormatting>
  <conditionalFormatting sqref="P4:P40">
    <cfRule type="cellIs" dxfId="25" priority="4" operator="equal">
      <formula>"X"</formula>
    </cfRule>
  </conditionalFormatting>
  <conditionalFormatting sqref="S4:S40">
    <cfRule type="cellIs" dxfId="24" priority="5" operator="equal">
      <formula>"X"</formula>
    </cfRule>
  </conditionalFormatting>
  <conditionalFormatting sqref="V4:V40">
    <cfRule type="cellIs" dxfId="23" priority="6" operator="equal">
      <formula>"X"</formula>
    </cfRule>
  </conditionalFormatting>
  <conditionalFormatting sqref="W16:W17">
    <cfRule type="cellIs" dxfId="22" priority="7" operator="equal">
      <formula>$J$5</formula>
    </cfRule>
  </conditionalFormatting>
  <conditionalFormatting sqref="Z4:Z40">
    <cfRule type="cellIs" dxfId="21" priority="8" stopIfTrue="1" operator="equal">
      <formula>"Felicitaciones por el buen rendimiento Académico"</formula>
    </cfRule>
    <cfRule type="notContainsText" dxfId="20" priority="9" stopIfTrue="1" operator="notContains" text="Felicitaciones…pasas a noveno">
      <formula>ISERROR(SEARCH(("Felicitaciones…pasas a noveno"),(Z4)))</formula>
    </cfRule>
    <cfRule type="containsText" dxfId="19" priority="10" stopIfTrue="1" operator="containsText" text="Tu año esta en riesgo de perderse">
      <formula>NOT(ISERROR(SEARCH(("Tu año esta en riesgo de perderse"),(Z4))))</formula>
    </cfRule>
    <cfRule type="containsText" dxfId="18" priority="11" stopIfTrue="1" operator="containsText" text="Felicitaciones…pasas a noveno">
      <formula>NOT(ISERROR(SEARCH(("Felicitaciones…pasas a noveno"),(Z4))))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000"/>
  <sheetViews>
    <sheetView showGridLines="0" workbookViewId="0"/>
  </sheetViews>
  <sheetFormatPr baseColWidth="10" defaultColWidth="14.42578125" defaultRowHeight="15" customHeight="1"/>
  <cols>
    <col min="1" max="3" width="11.42578125" customWidth="1"/>
    <col min="4" max="4" width="17.140625" customWidth="1"/>
    <col min="5" max="5" width="11.42578125" customWidth="1"/>
    <col min="6" max="6" width="61.28515625" customWidth="1"/>
    <col min="7" max="7" width="76.5703125" customWidth="1"/>
    <col min="8" max="26" width="11.42578125" customWidth="1"/>
  </cols>
  <sheetData>
    <row r="2" spans="2:4">
      <c r="C2" s="68" t="s">
        <v>105</v>
      </c>
      <c r="D2" s="68" t="s">
        <v>106</v>
      </c>
    </row>
    <row r="3" spans="2:4" ht="22.5">
      <c r="B3" s="50">
        <v>1</v>
      </c>
      <c r="C3" s="69" t="s">
        <v>34</v>
      </c>
      <c r="D3" s="62">
        <f>'informe PARCIAL 1 periodo (2)'!E42</f>
        <v>6</v>
      </c>
    </row>
    <row r="4" spans="2:4" ht="22.5">
      <c r="B4" s="50">
        <v>2</v>
      </c>
      <c r="C4" s="69" t="s">
        <v>35</v>
      </c>
      <c r="D4" s="62">
        <f>'informe PARCIAL 1 periodo (2)'!F42</f>
        <v>13</v>
      </c>
    </row>
    <row r="5" spans="2:4">
      <c r="B5" s="50">
        <v>3</v>
      </c>
      <c r="C5" s="69" t="s">
        <v>37</v>
      </c>
      <c r="D5" s="62">
        <f>'informe PARCIAL 1 periodo (2)'!H42</f>
        <v>12</v>
      </c>
    </row>
    <row r="6" spans="2:4" ht="22.5">
      <c r="B6" s="50">
        <v>4</v>
      </c>
      <c r="C6" s="69" t="s">
        <v>38</v>
      </c>
      <c r="D6" s="62">
        <f>'informe PARCIAL 1 periodo (2)'!I42</f>
        <v>12</v>
      </c>
    </row>
    <row r="7" spans="2:4" ht="33.75">
      <c r="B7" s="50">
        <v>5</v>
      </c>
      <c r="C7" s="69" t="s">
        <v>39</v>
      </c>
      <c r="D7" s="62">
        <f>'informe PARCIAL 1 periodo (2)'!J42</f>
        <v>5</v>
      </c>
    </row>
    <row r="8" spans="2:4" ht="45">
      <c r="B8" s="50">
        <v>6</v>
      </c>
      <c r="C8" s="69" t="s">
        <v>40</v>
      </c>
      <c r="D8" s="62">
        <f>'informe PARCIAL 1 periodo (2)'!K42</f>
        <v>4</v>
      </c>
    </row>
    <row r="9" spans="2:4" ht="22.5">
      <c r="B9" s="50">
        <v>7</v>
      </c>
      <c r="C9" s="69" t="s">
        <v>42</v>
      </c>
      <c r="D9" s="62">
        <f>'informe PARCIAL 1 periodo (2)'!M42</f>
        <v>0</v>
      </c>
    </row>
    <row r="10" spans="2:4" ht="22.5">
      <c r="B10" s="50">
        <v>8</v>
      </c>
      <c r="C10" s="69" t="s">
        <v>43</v>
      </c>
      <c r="D10" s="62">
        <f>'informe PARCIAL 1 periodo (2)'!N42</f>
        <v>14</v>
      </c>
    </row>
    <row r="11" spans="2:4">
      <c r="B11" s="50">
        <v>9</v>
      </c>
      <c r="C11" s="69" t="s">
        <v>44</v>
      </c>
      <c r="D11" s="62">
        <f>'informe PARCIAL 1 periodo (2)'!O42</f>
        <v>19</v>
      </c>
    </row>
    <row r="12" spans="2:4">
      <c r="B12" s="50">
        <v>10</v>
      </c>
      <c r="C12" s="69" t="s">
        <v>46</v>
      </c>
      <c r="D12" s="62">
        <f>'informe PARCIAL 1 periodo (2)'!Q42</f>
        <v>12</v>
      </c>
    </row>
    <row r="13" spans="2:4">
      <c r="B13" s="50">
        <v>11</v>
      </c>
      <c r="C13" s="69" t="s">
        <v>47</v>
      </c>
      <c r="D13" s="62">
        <f>'informe PARCIAL 1 periodo (2)'!R42</f>
        <v>13</v>
      </c>
    </row>
    <row r="14" spans="2:4">
      <c r="B14" s="50">
        <v>12</v>
      </c>
      <c r="C14" s="69" t="s">
        <v>49</v>
      </c>
      <c r="D14" s="62">
        <f>'informe PARCIAL 1 periodo (2)'!T42</f>
        <v>14</v>
      </c>
    </row>
    <row r="15" spans="2:4">
      <c r="B15" s="50">
        <v>13</v>
      </c>
      <c r="C15" s="69" t="s">
        <v>50</v>
      </c>
      <c r="D15" s="62">
        <f>'informe PARCIAL 1 periodo (2)'!U42</f>
        <v>13</v>
      </c>
    </row>
    <row r="16" spans="2:4" ht="33.75">
      <c r="C16" s="69" t="s">
        <v>51</v>
      </c>
      <c r="D16" s="62">
        <f>'informe PARCIAL 1 periodo (2)'!V42</f>
        <v>10</v>
      </c>
    </row>
    <row r="21" spans="6:9" ht="15.75" customHeight="1"/>
    <row r="22" spans="6:9" ht="15.75" customHeight="1"/>
    <row r="23" spans="6:9" ht="15.75" customHeight="1"/>
    <row r="24" spans="6:9" ht="15.75" customHeight="1"/>
    <row r="25" spans="6:9" ht="15.75" customHeight="1"/>
    <row r="26" spans="6:9" ht="15.75" customHeight="1">
      <c r="F26" s="70" t="s">
        <v>107</v>
      </c>
      <c r="G26" s="70" t="s">
        <v>108</v>
      </c>
      <c r="H26" s="20"/>
      <c r="I26" s="20"/>
    </row>
    <row r="27" spans="6:9" ht="15.75" customHeight="1">
      <c r="F27" s="71" t="s">
        <v>109</v>
      </c>
      <c r="G27" s="72">
        <v>0</v>
      </c>
    </row>
    <row r="28" spans="6:9" ht="15.75" customHeight="1">
      <c r="F28" s="73" t="s">
        <v>110</v>
      </c>
      <c r="G28" s="74">
        <v>0</v>
      </c>
    </row>
    <row r="29" spans="6:9" ht="15.75" customHeight="1">
      <c r="F29" s="71" t="s">
        <v>111</v>
      </c>
      <c r="G29" s="72">
        <v>0</v>
      </c>
    </row>
    <row r="30" spans="6:9" ht="15.75" customHeight="1">
      <c r="F30" s="73" t="s">
        <v>112</v>
      </c>
      <c r="G30" s="74">
        <v>0</v>
      </c>
    </row>
    <row r="31" spans="6:9" ht="15.75" customHeight="1">
      <c r="F31" s="71" t="s">
        <v>113</v>
      </c>
      <c r="G31" s="72">
        <v>0</v>
      </c>
    </row>
    <row r="32" spans="6:9" ht="15.75" customHeight="1">
      <c r="F32" s="73" t="s">
        <v>114</v>
      </c>
      <c r="G32" s="74"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002"/>
  <sheetViews>
    <sheetView tabSelected="1" zoomScale="96" zoomScaleNormal="96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9" sqref="E9"/>
    </sheetView>
  </sheetViews>
  <sheetFormatPr baseColWidth="10" defaultColWidth="14.42578125" defaultRowHeight="15" customHeight="1"/>
  <cols>
    <col min="1" max="1" width="4.42578125" customWidth="1"/>
    <col min="2" max="2" width="6.5703125" bestFit="1" customWidth="1"/>
    <col min="3" max="3" width="38" customWidth="1"/>
    <col min="4" max="4" width="8.140625" customWidth="1"/>
    <col min="5" max="5" width="7.85546875" customWidth="1"/>
    <col min="6" max="6" width="7.7109375" customWidth="1"/>
    <col min="7" max="7" width="12.7109375" customWidth="1"/>
    <col min="8" max="8" width="6.42578125" customWidth="1"/>
    <col min="9" max="9" width="6.85546875" customWidth="1"/>
    <col min="10" max="10" width="8.85546875" customWidth="1"/>
    <col min="11" max="11" width="9.28515625" customWidth="1"/>
    <col min="12" max="13" width="8.28515625" customWidth="1"/>
    <col min="14" max="15" width="7.42578125" customWidth="1"/>
    <col min="16" max="17" width="6.28515625" customWidth="1"/>
    <col min="18" max="18" width="5" customWidth="1"/>
    <col min="19" max="19" width="5.7109375" customWidth="1"/>
    <col min="20" max="20" width="6.7109375" customWidth="1"/>
    <col min="21" max="21" width="5.140625" customWidth="1"/>
    <col min="22" max="22" width="8.85546875" customWidth="1"/>
    <col min="23" max="23" width="3.5703125" customWidth="1"/>
    <col min="24" max="24" width="11.42578125" customWidth="1"/>
    <col min="25" max="25" width="5" customWidth="1"/>
    <col min="26" max="26" width="45.85546875" customWidth="1"/>
    <col min="27" max="27" width="14" customWidth="1"/>
    <col min="28" max="28" width="18" customWidth="1"/>
    <col min="29" max="29" width="11.42578125" customWidth="1"/>
    <col min="30" max="30" width="19.7109375" customWidth="1"/>
    <col min="31" max="31" width="9.85546875" customWidth="1"/>
    <col min="32" max="35" width="11.42578125" customWidth="1"/>
    <col min="36" max="36" width="18.7109375" customWidth="1"/>
    <col min="37" max="40" width="11.42578125" customWidth="1"/>
    <col min="41" max="41" width="31.85546875" customWidth="1"/>
    <col min="42" max="60" width="11.42578125" customWidth="1"/>
    <col min="61" max="62" width="6.5703125" customWidth="1"/>
    <col min="63" max="63" width="9.7109375" customWidth="1"/>
    <col min="64" max="64" width="10" customWidth="1"/>
  </cols>
  <sheetData>
    <row r="1" spans="1:64" ht="15.75" thickBot="1">
      <c r="A1" s="161" t="s">
        <v>27</v>
      </c>
      <c r="B1" s="162"/>
      <c r="C1" s="19" t="s">
        <v>28</v>
      </c>
      <c r="D1" s="19"/>
      <c r="E1" s="163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  <c r="W1" s="166" t="s">
        <v>29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64" ht="87" customHeight="1" thickBot="1">
      <c r="A2" s="21" t="s">
        <v>30</v>
      </c>
      <c r="B2" s="22" t="s">
        <v>31</v>
      </c>
      <c r="C2" s="23" t="s">
        <v>32</v>
      </c>
      <c r="D2" s="75" t="s">
        <v>33</v>
      </c>
      <c r="E2" s="76" t="s">
        <v>34</v>
      </c>
      <c r="F2" s="76" t="s">
        <v>35</v>
      </c>
      <c r="G2" s="75" t="s">
        <v>36</v>
      </c>
      <c r="H2" s="77" t="s">
        <v>37</v>
      </c>
      <c r="I2" s="77" t="s">
        <v>38</v>
      </c>
      <c r="J2" s="78" t="s">
        <v>39</v>
      </c>
      <c r="K2" s="78" t="s">
        <v>40</v>
      </c>
      <c r="L2" s="75" t="s">
        <v>41</v>
      </c>
      <c r="M2" s="76" t="s">
        <v>42</v>
      </c>
      <c r="N2" s="76" t="s">
        <v>43</v>
      </c>
      <c r="O2" s="76" t="s">
        <v>44</v>
      </c>
      <c r="P2" s="75" t="s">
        <v>45</v>
      </c>
      <c r="Q2" s="76" t="s">
        <v>46</v>
      </c>
      <c r="R2" s="76" t="s">
        <v>47</v>
      </c>
      <c r="S2" s="75" t="s">
        <v>48</v>
      </c>
      <c r="T2" s="79" t="s">
        <v>49</v>
      </c>
      <c r="U2" s="80" t="s">
        <v>50</v>
      </c>
      <c r="V2" s="81" t="s">
        <v>51</v>
      </c>
      <c r="W2" s="167"/>
      <c r="X2" s="31" t="s">
        <v>52</v>
      </c>
      <c r="Y2" s="200" t="s">
        <v>53</v>
      </c>
      <c r="Z2" s="33" t="s">
        <v>54</v>
      </c>
      <c r="AA2" s="201" t="s">
        <v>288</v>
      </c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64" ht="15.75" thickBot="1">
      <c r="A3" s="82"/>
      <c r="B3" s="82"/>
      <c r="C3" s="83"/>
      <c r="D3" s="84"/>
      <c r="E3" s="84"/>
      <c r="F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68"/>
      <c r="X3" s="38"/>
      <c r="Y3" s="38"/>
      <c r="Z3" s="38"/>
      <c r="AA3" s="20"/>
      <c r="AB3" s="20"/>
      <c r="AC3" s="20"/>
      <c r="AD3" s="20"/>
      <c r="AE3" s="20"/>
      <c r="AF3" s="20" t="s">
        <v>55</v>
      </c>
      <c r="AG3" s="20" t="s">
        <v>56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4" ht="16.5" thickBot="1">
      <c r="A4" s="86">
        <v>1</v>
      </c>
      <c r="B4" s="87"/>
      <c r="C4" s="156" t="s">
        <v>274</v>
      </c>
      <c r="D4" s="89" t="s">
        <v>58</v>
      </c>
      <c r="E4" s="89" t="s">
        <v>58</v>
      </c>
      <c r="F4" s="89" t="s">
        <v>58</v>
      </c>
      <c r="G4" s="89" t="s">
        <v>58</v>
      </c>
      <c r="H4" s="89" t="s">
        <v>58</v>
      </c>
      <c r="I4" s="89" t="s">
        <v>58</v>
      </c>
      <c r="J4" s="89" t="s">
        <v>58</v>
      </c>
      <c r="K4" s="89" t="s">
        <v>58</v>
      </c>
      <c r="L4" s="89" t="s">
        <v>58</v>
      </c>
      <c r="M4" s="89" t="s">
        <v>58</v>
      </c>
      <c r="N4" s="89" t="s">
        <v>58</v>
      </c>
      <c r="O4" s="89"/>
      <c r="P4" s="89" t="s">
        <v>58</v>
      </c>
      <c r="Q4" s="89" t="s">
        <v>58</v>
      </c>
      <c r="R4" s="89" t="s">
        <v>58</v>
      </c>
      <c r="S4" s="89" t="s">
        <v>58</v>
      </c>
      <c r="T4" s="89" t="s">
        <v>58</v>
      </c>
      <c r="U4" s="89" t="s">
        <v>58</v>
      </c>
      <c r="V4" s="89"/>
      <c r="W4" s="90">
        <f t="shared" ref="W4:W13" si="0">COUNTIF(D4:V4,"X")-X4</f>
        <v>12</v>
      </c>
      <c r="X4" s="38">
        <f>COUNTA(D4,G4,L4,P4,S4)</f>
        <v>5</v>
      </c>
      <c r="Y4" s="38">
        <f t="shared" ref="Y4:Y13" si="1">COUNTA(J4,K4,V4)</f>
        <v>2</v>
      </c>
      <c r="Z4" s="38" t="str">
        <f t="shared" ref="Z4:Z13" si="2">IF(AND(X4=0,Y4=0),"Felicitaciones por el buen rendimiento Académico",IF(AND(X4=1,Y4=1),"Pasas con logros Pendientes",IF(AND(X4=1,Y4=0),"Pasas con logros Pendientes",IF(AND(X4=0,Y4=1),"Pasas con logros Pendientes","Tu año esta en riesgo de perderse"))))</f>
        <v>Tu año esta en riesgo de perderse</v>
      </c>
      <c r="AA4" s="20">
        <f t="shared" ref="AA4:AA13" si="3">X4+Y4</f>
        <v>7</v>
      </c>
      <c r="AB4" s="20"/>
      <c r="AC4" s="20"/>
      <c r="AD4" s="20"/>
      <c r="AE4" s="20"/>
      <c r="AF4" s="20">
        <f t="shared" ref="AF4:AF7" si="4">(COUNTIF(D4:V4,"X")-AG4)</f>
        <v>16</v>
      </c>
      <c r="AG4" s="20">
        <v>1</v>
      </c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5" spans="1:64" ht="16.5" thickBot="1">
      <c r="A5" s="86">
        <v>2</v>
      </c>
      <c r="B5" s="87"/>
      <c r="C5" s="156" t="s">
        <v>275</v>
      </c>
      <c r="D5" s="89"/>
      <c r="E5" s="89"/>
      <c r="F5" s="89"/>
      <c r="G5" s="89" t="s">
        <v>58</v>
      </c>
      <c r="H5" s="89" t="s">
        <v>58</v>
      </c>
      <c r="I5" s="89"/>
      <c r="J5" s="89"/>
      <c r="K5" s="89"/>
      <c r="L5" s="89" t="s">
        <v>58</v>
      </c>
      <c r="M5" s="89" t="s">
        <v>58</v>
      </c>
      <c r="N5" s="89" t="s">
        <v>58</v>
      </c>
      <c r="O5" s="89"/>
      <c r="P5" s="89"/>
      <c r="Q5" s="89"/>
      <c r="R5" s="89"/>
      <c r="S5" s="89"/>
      <c r="T5" s="89"/>
      <c r="U5" s="89"/>
      <c r="V5" s="89"/>
      <c r="W5" s="90">
        <f t="shared" si="0"/>
        <v>3</v>
      </c>
      <c r="X5" s="38">
        <f t="shared" ref="X5:X34" si="5">COUNTA(D5,G5,L5,P5,S5)</f>
        <v>2</v>
      </c>
      <c r="Y5" s="38">
        <f t="shared" si="1"/>
        <v>0</v>
      </c>
      <c r="Z5" s="38" t="str">
        <f t="shared" si="2"/>
        <v>Tu año esta en riesgo de perderse</v>
      </c>
      <c r="AA5" s="20">
        <f t="shared" si="3"/>
        <v>2</v>
      </c>
      <c r="AB5" s="20"/>
      <c r="AC5" s="47" t="s">
        <v>60</v>
      </c>
      <c r="AD5" s="47" t="s">
        <v>61</v>
      </c>
      <c r="AE5" s="20"/>
      <c r="AF5" s="20">
        <f t="shared" si="4"/>
        <v>2</v>
      </c>
      <c r="AG5" s="20">
        <v>3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</row>
    <row r="6" spans="1:64" ht="15.75" customHeight="1" thickBot="1">
      <c r="A6" s="86">
        <v>3</v>
      </c>
      <c r="B6" s="87"/>
      <c r="C6" s="156" t="s">
        <v>276</v>
      </c>
      <c r="D6" s="89" t="s">
        <v>58</v>
      </c>
      <c r="E6" s="89" t="s">
        <v>58</v>
      </c>
      <c r="F6" s="89"/>
      <c r="G6" s="89"/>
      <c r="H6" s="89"/>
      <c r="I6" s="89"/>
      <c r="J6" s="89"/>
      <c r="K6" s="89"/>
      <c r="L6" s="89"/>
      <c r="M6" s="89"/>
      <c r="N6" s="89" t="s">
        <v>58</v>
      </c>
      <c r="O6" s="89"/>
      <c r="P6" s="89" t="s">
        <v>58</v>
      </c>
      <c r="Q6" s="89" t="s">
        <v>58</v>
      </c>
      <c r="R6" s="89" t="s">
        <v>58</v>
      </c>
      <c r="S6" s="89" t="s">
        <v>58</v>
      </c>
      <c r="T6" s="89" t="s">
        <v>58</v>
      </c>
      <c r="U6" s="89"/>
      <c r="V6" s="89"/>
      <c r="W6" s="90">
        <f t="shared" si="0"/>
        <v>5</v>
      </c>
      <c r="X6" s="38">
        <f t="shared" si="5"/>
        <v>3</v>
      </c>
      <c r="Y6" s="38">
        <f t="shared" si="1"/>
        <v>0</v>
      </c>
      <c r="Z6" s="38" t="str">
        <f t="shared" si="2"/>
        <v>Tu año esta en riesgo de perderse</v>
      </c>
      <c r="AA6" s="20">
        <f t="shared" si="3"/>
        <v>3</v>
      </c>
      <c r="AB6" s="20"/>
      <c r="AC6" s="48" t="s">
        <v>2</v>
      </c>
      <c r="AD6" s="49">
        <f>COUNTIF($AA$4:$AA$34,"0")</f>
        <v>12</v>
      </c>
      <c r="AE6" s="20"/>
      <c r="AF6" s="20">
        <f t="shared" si="4"/>
        <v>7</v>
      </c>
      <c r="AG6" s="20">
        <v>1</v>
      </c>
      <c r="AH6" s="20"/>
      <c r="AI6" s="91" t="s">
        <v>63</v>
      </c>
      <c r="AJ6" s="91" t="s">
        <v>64</v>
      </c>
      <c r="AK6" s="91" t="s">
        <v>23</v>
      </c>
      <c r="AL6" s="20"/>
      <c r="AM6" s="20"/>
      <c r="AN6" s="20"/>
      <c r="AO6" s="92" t="s">
        <v>115</v>
      </c>
      <c r="AP6" s="92" t="s">
        <v>116</v>
      </c>
      <c r="AQ6" s="92" t="s">
        <v>23</v>
      </c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</row>
    <row r="7" spans="1:64" ht="15.75" customHeight="1" thickBot="1">
      <c r="A7" s="86">
        <v>4</v>
      </c>
      <c r="B7" s="87"/>
      <c r="C7" s="156" t="s">
        <v>286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 t="s">
        <v>58</v>
      </c>
      <c r="O7" s="89"/>
      <c r="P7" s="89"/>
      <c r="Q7" s="89"/>
      <c r="R7" s="89"/>
      <c r="S7" s="89" t="s">
        <v>58</v>
      </c>
      <c r="T7" s="89" t="s">
        <v>58</v>
      </c>
      <c r="U7" s="89" t="s">
        <v>58</v>
      </c>
      <c r="V7" s="89"/>
      <c r="W7" s="90"/>
      <c r="X7" s="38">
        <f t="shared" si="5"/>
        <v>1</v>
      </c>
      <c r="Y7" s="38">
        <f t="shared" si="1"/>
        <v>0</v>
      </c>
      <c r="Z7" s="38" t="str">
        <f t="shared" si="2"/>
        <v>Pasas con logros Pendientes</v>
      </c>
      <c r="AA7" s="20">
        <f t="shared" si="3"/>
        <v>1</v>
      </c>
      <c r="AB7" s="160"/>
      <c r="AC7" s="48" t="s">
        <v>3</v>
      </c>
      <c r="AD7" s="49">
        <f>COUNTIF($AA$4:$AA$34,"1")</f>
        <v>10</v>
      </c>
      <c r="AE7" s="160"/>
      <c r="AF7" s="20">
        <f t="shared" si="4"/>
        <v>0</v>
      </c>
      <c r="AG7" s="20">
        <v>4</v>
      </c>
      <c r="AH7" s="20"/>
      <c r="AI7" s="93" t="s">
        <v>2</v>
      </c>
      <c r="AJ7" s="94">
        <f>AD6</f>
        <v>12</v>
      </c>
      <c r="AK7" s="95">
        <f>AJ7/$AJ$17</f>
        <v>0.38709677419354838</v>
      </c>
      <c r="AL7" s="20"/>
      <c r="AM7" s="20"/>
      <c r="AN7" s="20"/>
      <c r="AO7" s="96" t="s">
        <v>285</v>
      </c>
      <c r="AP7" s="97">
        <f>AJ7</f>
        <v>12</v>
      </c>
      <c r="AQ7" s="98">
        <f>AP7/AP9</f>
        <v>0.38709677419354838</v>
      </c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</row>
    <row r="8" spans="1:64" ht="19.5" customHeight="1" thickBot="1">
      <c r="A8" s="86">
        <v>5</v>
      </c>
      <c r="B8" s="87"/>
      <c r="C8" s="202" t="s">
        <v>273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90">
        <f t="shared" si="0"/>
        <v>0</v>
      </c>
      <c r="X8" s="38">
        <f t="shared" si="5"/>
        <v>0</v>
      </c>
      <c r="Y8" s="38">
        <f t="shared" si="1"/>
        <v>0</v>
      </c>
      <c r="Z8" s="38" t="str">
        <f t="shared" si="2"/>
        <v>Felicitaciones por el buen rendimiento Académico</v>
      </c>
      <c r="AA8" s="20">
        <f t="shared" si="3"/>
        <v>0</v>
      </c>
      <c r="AB8" s="20"/>
      <c r="AC8" s="48" t="s">
        <v>4</v>
      </c>
      <c r="AD8" s="49">
        <f>COUNTIF($AA$4:$AA$34,"2")</f>
        <v>3</v>
      </c>
      <c r="AE8" s="20"/>
      <c r="AF8" s="20">
        <f>(COUNTIF(D8:V8,"X")-AG8)</f>
        <v>-4</v>
      </c>
      <c r="AG8" s="20">
        <v>4</v>
      </c>
      <c r="AH8" s="20"/>
      <c r="AI8" s="93" t="s">
        <v>3</v>
      </c>
      <c r="AJ8" s="94">
        <f t="shared" ref="AJ8:AJ15" si="6">AD7</f>
        <v>10</v>
      </c>
      <c r="AK8" s="95">
        <f>AJ8/$AJ$17</f>
        <v>0.32258064516129031</v>
      </c>
      <c r="AL8" s="20"/>
      <c r="AM8" s="20"/>
      <c r="AN8" s="20"/>
      <c r="AO8" s="96" t="s">
        <v>117</v>
      </c>
      <c r="AP8" s="97">
        <f>AP9-AP7</f>
        <v>19</v>
      </c>
      <c r="AQ8" s="98">
        <f>AP8/AP9</f>
        <v>0.61290322580645162</v>
      </c>
      <c r="AR8" s="20"/>
      <c r="AS8" s="20"/>
      <c r="AT8" s="20"/>
      <c r="AU8" s="20"/>
      <c r="AV8" s="20" t="s">
        <v>107</v>
      </c>
      <c r="AW8" s="20" t="s">
        <v>108</v>
      </c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</row>
    <row r="9" spans="1:64" ht="17.25" customHeight="1" thickBot="1">
      <c r="A9" s="86">
        <v>6</v>
      </c>
      <c r="B9" s="87"/>
      <c r="C9" s="156" t="s">
        <v>277</v>
      </c>
      <c r="D9" s="89" t="s">
        <v>58</v>
      </c>
      <c r="E9" s="89" t="s">
        <v>58</v>
      </c>
      <c r="F9" s="89"/>
      <c r="G9" s="89"/>
      <c r="H9" s="89"/>
      <c r="I9" s="89"/>
      <c r="J9" s="89"/>
      <c r="K9" s="89"/>
      <c r="L9" s="89" t="s">
        <v>58</v>
      </c>
      <c r="M9" s="89" t="s">
        <v>58</v>
      </c>
      <c r="N9" s="89" t="s">
        <v>58</v>
      </c>
      <c r="O9" s="89"/>
      <c r="P9" s="89"/>
      <c r="Q9" s="89"/>
      <c r="R9" s="89"/>
      <c r="S9" s="89"/>
      <c r="T9" s="89"/>
      <c r="U9" s="89"/>
      <c r="V9" s="89"/>
      <c r="W9" s="90">
        <f t="shared" si="0"/>
        <v>3</v>
      </c>
      <c r="X9" s="38">
        <f t="shared" si="5"/>
        <v>2</v>
      </c>
      <c r="Y9" s="38">
        <f t="shared" si="1"/>
        <v>0</v>
      </c>
      <c r="Z9" s="38" t="str">
        <f t="shared" si="2"/>
        <v>Tu año esta en riesgo de perderse</v>
      </c>
      <c r="AA9" s="20">
        <f t="shared" si="3"/>
        <v>2</v>
      </c>
      <c r="AB9" s="20"/>
      <c r="AC9" s="48" t="s">
        <v>5</v>
      </c>
      <c r="AD9" s="49">
        <f>COUNTIF($AA$4:$AA$34,"3")</f>
        <v>1</v>
      </c>
      <c r="AE9" s="20"/>
      <c r="AF9" s="20">
        <f>(COUNTIF(D9:V9,"X")-AG9)</f>
        <v>0</v>
      </c>
      <c r="AG9" s="20">
        <v>5</v>
      </c>
      <c r="AH9" s="20"/>
      <c r="AI9" s="93" t="s">
        <v>4</v>
      </c>
      <c r="AJ9" s="94">
        <f t="shared" si="6"/>
        <v>3</v>
      </c>
      <c r="AK9" s="95">
        <f>AJ9/$AJ$17</f>
        <v>9.6774193548387094E-2</v>
      </c>
      <c r="AL9" s="20"/>
      <c r="AM9" s="20"/>
      <c r="AN9" s="20"/>
      <c r="AO9" s="96" t="s">
        <v>118</v>
      </c>
      <c r="AP9" s="97">
        <f>AJ17</f>
        <v>31</v>
      </c>
      <c r="AQ9" s="98">
        <v>1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</row>
    <row r="10" spans="1:64" ht="16.5" thickBot="1">
      <c r="A10" s="86">
        <v>7</v>
      </c>
      <c r="B10" s="87"/>
      <c r="C10" s="202" t="s">
        <v>289</v>
      </c>
      <c r="D10" s="89"/>
      <c r="E10" s="89"/>
      <c r="F10" s="89"/>
      <c r="G10" s="89"/>
      <c r="H10" s="89"/>
      <c r="I10" s="89"/>
      <c r="J10" s="89"/>
      <c r="K10" s="89"/>
      <c r="L10" s="89"/>
      <c r="M10" s="89" t="s">
        <v>58</v>
      </c>
      <c r="N10" s="89"/>
      <c r="O10" s="89"/>
      <c r="P10" s="89"/>
      <c r="Q10" s="89"/>
      <c r="R10" s="89"/>
      <c r="S10" s="89"/>
      <c r="T10" s="89"/>
      <c r="U10" s="89"/>
      <c r="V10" s="89"/>
      <c r="W10" s="90">
        <f t="shared" si="0"/>
        <v>1</v>
      </c>
      <c r="X10" s="38">
        <f t="shared" si="5"/>
        <v>0</v>
      </c>
      <c r="Y10" s="38">
        <f t="shared" si="1"/>
        <v>0</v>
      </c>
      <c r="Z10" s="38" t="str">
        <f t="shared" si="2"/>
        <v>Felicitaciones por el buen rendimiento Académico</v>
      </c>
      <c r="AA10" s="20">
        <f t="shared" si="3"/>
        <v>0</v>
      </c>
      <c r="AB10" s="20"/>
      <c r="AC10" s="48" t="s">
        <v>6</v>
      </c>
      <c r="AD10" s="49">
        <f>COUNTIF($AA$4:$AA$34,"4")</f>
        <v>1</v>
      </c>
      <c r="AE10" s="20"/>
      <c r="AF10" s="20">
        <f>(COUNTIF(D10:V10,"X")-AG10)</f>
        <v>-2</v>
      </c>
      <c r="AG10" s="20">
        <v>3</v>
      </c>
      <c r="AH10" s="20"/>
      <c r="AI10" s="93" t="s">
        <v>5</v>
      </c>
      <c r="AJ10" s="94">
        <f t="shared" si="6"/>
        <v>1</v>
      </c>
      <c r="AK10" s="95">
        <f>AJ10/$AJ$17</f>
        <v>3.2258064516129031E-2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ht="16.5" thickBot="1">
      <c r="A11" s="86">
        <v>8</v>
      </c>
      <c r="B11" s="87"/>
      <c r="C11" s="202" t="s">
        <v>290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 t="s">
        <v>58</v>
      </c>
      <c r="O11" s="89"/>
      <c r="P11" s="89"/>
      <c r="Q11" s="89"/>
      <c r="R11" s="89"/>
      <c r="S11" s="89"/>
      <c r="T11" s="89"/>
      <c r="U11" s="89"/>
      <c r="V11" s="89"/>
      <c r="W11" s="90">
        <f t="shared" si="0"/>
        <v>1</v>
      </c>
      <c r="X11" s="38">
        <f t="shared" si="5"/>
        <v>0</v>
      </c>
      <c r="Y11" s="38">
        <f t="shared" si="1"/>
        <v>0</v>
      </c>
      <c r="Z11" s="38" t="str">
        <f t="shared" si="2"/>
        <v>Felicitaciones por el buen rendimiento Académico</v>
      </c>
      <c r="AA11" s="20">
        <f t="shared" si="3"/>
        <v>0</v>
      </c>
      <c r="AB11" s="20"/>
      <c r="AC11" s="48" t="s">
        <v>7</v>
      </c>
      <c r="AD11" s="49">
        <f>COUNTIF($AA$4:$AA$34,"5")</f>
        <v>2</v>
      </c>
      <c r="AE11" s="20"/>
      <c r="AF11" s="20">
        <f>(COUNTIF(D11:V11,"X")-AG11)</f>
        <v>1</v>
      </c>
      <c r="AG11" s="20">
        <v>0</v>
      </c>
      <c r="AH11" s="20"/>
      <c r="AI11" s="93" t="s">
        <v>6</v>
      </c>
      <c r="AJ11" s="94">
        <f t="shared" si="6"/>
        <v>1</v>
      </c>
      <c r="AK11" s="95">
        <f>AJ11/$AJ$17</f>
        <v>3.2258064516129031E-2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ht="16.5" thickBot="1">
      <c r="A12" s="86">
        <v>9</v>
      </c>
      <c r="B12" s="87"/>
      <c r="C12" s="88" t="s">
        <v>119</v>
      </c>
      <c r="D12" s="89" t="s">
        <v>58</v>
      </c>
      <c r="E12" s="89" t="s">
        <v>58</v>
      </c>
      <c r="F12" s="89"/>
      <c r="G12" s="89" t="s">
        <v>58</v>
      </c>
      <c r="H12" s="89" t="s">
        <v>58</v>
      </c>
      <c r="I12" s="89"/>
      <c r="J12" s="89" t="s">
        <v>58</v>
      </c>
      <c r="K12" s="89"/>
      <c r="L12" s="89"/>
      <c r="M12" s="89"/>
      <c r="N12" s="89" t="s">
        <v>58</v>
      </c>
      <c r="O12" s="89"/>
      <c r="P12" s="89" t="s">
        <v>58</v>
      </c>
      <c r="Q12" s="89" t="s">
        <v>58</v>
      </c>
      <c r="R12" s="89" t="s">
        <v>58</v>
      </c>
      <c r="S12" s="89" t="s">
        <v>58</v>
      </c>
      <c r="T12" s="89" t="s">
        <v>58</v>
      </c>
      <c r="U12" s="89" t="s">
        <v>58</v>
      </c>
      <c r="V12" s="89"/>
      <c r="W12" s="90">
        <f t="shared" si="0"/>
        <v>8</v>
      </c>
      <c r="X12" s="38">
        <f t="shared" si="5"/>
        <v>4</v>
      </c>
      <c r="Y12" s="38">
        <f t="shared" si="1"/>
        <v>1</v>
      </c>
      <c r="Z12" s="38" t="str">
        <f t="shared" si="2"/>
        <v>Tu año esta en riesgo de perderse</v>
      </c>
      <c r="AA12" s="20">
        <f t="shared" si="3"/>
        <v>5</v>
      </c>
      <c r="AB12" s="20"/>
      <c r="AC12" s="48" t="s">
        <v>8</v>
      </c>
      <c r="AD12" s="49">
        <f>COUNTIF($AA$4:$AA$34,"6")</f>
        <v>0</v>
      </c>
      <c r="AE12" s="20"/>
      <c r="AF12" s="20">
        <f>(COUNTIF(D12:V12,"X")-AG12)</f>
        <v>11</v>
      </c>
      <c r="AG12" s="20">
        <v>1</v>
      </c>
      <c r="AH12" s="20"/>
      <c r="AI12" s="93" t="s">
        <v>7</v>
      </c>
      <c r="AJ12" s="94">
        <f t="shared" si="6"/>
        <v>2</v>
      </c>
      <c r="AK12" s="95">
        <f>AJ12/$AJ$17</f>
        <v>6.4516129032258063E-2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</row>
    <row r="13" spans="1:64" ht="16.5" thickBot="1">
      <c r="A13" s="86">
        <v>10</v>
      </c>
      <c r="B13" s="87"/>
      <c r="C13" s="202" t="s">
        <v>291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 t="s">
        <v>58</v>
      </c>
      <c r="O13" s="89"/>
      <c r="P13" s="89"/>
      <c r="Q13" s="89"/>
      <c r="R13" s="89"/>
      <c r="S13" s="89"/>
      <c r="T13" s="89"/>
      <c r="U13" s="89"/>
      <c r="V13" s="89"/>
      <c r="W13" s="90">
        <f t="shared" si="0"/>
        <v>1</v>
      </c>
      <c r="X13" s="38">
        <f t="shared" si="5"/>
        <v>0</v>
      </c>
      <c r="Y13" s="38">
        <f t="shared" si="1"/>
        <v>0</v>
      </c>
      <c r="Z13" s="38" t="str">
        <f t="shared" si="2"/>
        <v>Felicitaciones por el buen rendimiento Académico</v>
      </c>
      <c r="AA13" s="20">
        <f t="shared" si="3"/>
        <v>0</v>
      </c>
      <c r="AB13" s="20"/>
      <c r="AC13" s="48" t="s">
        <v>9</v>
      </c>
      <c r="AD13" s="49">
        <f>COUNTIF($AA$4:$AA$34,"7")</f>
        <v>2</v>
      </c>
      <c r="AE13" s="20"/>
      <c r="AF13" s="20">
        <f>(COUNTIF(D13:V13,"X")-AG13)</f>
        <v>-3</v>
      </c>
      <c r="AG13" s="20">
        <v>4</v>
      </c>
      <c r="AH13" s="20"/>
      <c r="AI13" s="93" t="s">
        <v>8</v>
      </c>
      <c r="AJ13" s="94">
        <f t="shared" si="6"/>
        <v>0</v>
      </c>
      <c r="AK13" s="95">
        <f>AJ13/$AJ$17</f>
        <v>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</row>
    <row r="14" spans="1:64" ht="16.5" thickBot="1">
      <c r="A14" s="86">
        <v>11</v>
      </c>
      <c r="B14" s="87"/>
      <c r="C14" s="202" t="s">
        <v>120</v>
      </c>
      <c r="D14" s="89" t="s">
        <v>58</v>
      </c>
      <c r="E14" s="89" t="s">
        <v>58</v>
      </c>
      <c r="F14" s="89"/>
      <c r="G14" s="89" t="s">
        <v>58</v>
      </c>
      <c r="H14" s="89" t="s">
        <v>58</v>
      </c>
      <c r="I14" s="89" t="s">
        <v>58</v>
      </c>
      <c r="J14" s="89" t="s">
        <v>58</v>
      </c>
      <c r="K14" s="89" t="s">
        <v>58</v>
      </c>
      <c r="L14" s="89" t="s">
        <v>58</v>
      </c>
      <c r="M14" s="89" t="s">
        <v>58</v>
      </c>
      <c r="N14" s="89" t="s">
        <v>58</v>
      </c>
      <c r="O14" s="89"/>
      <c r="P14" s="89" t="s">
        <v>58</v>
      </c>
      <c r="Q14" s="89" t="s">
        <v>58</v>
      </c>
      <c r="R14" s="89" t="s">
        <v>58</v>
      </c>
      <c r="S14" s="89" t="s">
        <v>58</v>
      </c>
      <c r="T14" s="89" t="s">
        <v>58</v>
      </c>
      <c r="U14" s="89" t="s">
        <v>58</v>
      </c>
      <c r="V14" s="89"/>
      <c r="W14" s="90"/>
      <c r="X14" s="38">
        <f t="shared" si="5"/>
        <v>5</v>
      </c>
      <c r="Y14" s="38">
        <f t="shared" ref="Y14" si="7">COUNTA(J14,K14,V14)</f>
        <v>2</v>
      </c>
      <c r="Z14" s="38" t="str">
        <f t="shared" ref="Z14" si="8">IF(AND(X14=0,Y14=0),"Felicitaciones por el buen rendimiento Académico",IF(AND(X14=1,Y14=1),"Pasas con logros Pendientes",IF(AND(X14=1,Y14=0),"Pasas con logros Pendientes",IF(AND(X14=0,Y14=1),"Pasas con logros Pendientes","Tu año esta en riesgo de perderse"))))</f>
        <v>Tu año esta en riesgo de perderse</v>
      </c>
      <c r="AA14" s="20">
        <f t="shared" ref="AA14" si="9">X14+Y14</f>
        <v>7</v>
      </c>
      <c r="AB14" s="20"/>
      <c r="AC14" s="48" t="s">
        <v>10</v>
      </c>
      <c r="AD14" s="49">
        <f>COUNTIF($AA$4:$AA$34,"8")</f>
        <v>0</v>
      </c>
      <c r="AE14" s="20"/>
      <c r="AF14" s="20">
        <f>(COUNTIF(D15:V15,"X")-AG14)</f>
        <v>2</v>
      </c>
      <c r="AG14" s="20">
        <v>0</v>
      </c>
      <c r="AH14" s="20"/>
      <c r="AI14" s="93" t="s">
        <v>9</v>
      </c>
      <c r="AJ14" s="94">
        <f t="shared" si="6"/>
        <v>2</v>
      </c>
      <c r="AK14" s="95">
        <f t="shared" ref="AK14:AK15" si="10">AJ14/$AJ$17</f>
        <v>6.4516129032258063E-2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16.5" thickBot="1">
      <c r="A15" s="86">
        <v>12</v>
      </c>
      <c r="B15" s="87"/>
      <c r="C15" s="88" t="s">
        <v>121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 t="s">
        <v>58</v>
      </c>
      <c r="T15" s="89" t="s">
        <v>58</v>
      </c>
      <c r="U15" s="89"/>
      <c r="V15" s="89"/>
      <c r="W15" s="90">
        <f t="shared" ref="W15:W17" si="11">COUNTIF(D15:V15,"X")-X15</f>
        <v>1</v>
      </c>
      <c r="X15" s="38">
        <f t="shared" si="5"/>
        <v>1</v>
      </c>
      <c r="Y15" s="38">
        <f t="shared" ref="Y15:Y30" si="12">COUNTA(J15,K15,V15)</f>
        <v>0</v>
      </c>
      <c r="Z15" s="38" t="str">
        <f t="shared" ref="Z15:Z30" si="13">IF(AND(X15=0,Y15=0),"Felicitaciones por el buen rendimiento Académico",IF(AND(X15=1,Y15=1),"Pasas con logros Pendientes",IF(AND(X15=1,Y15=0),"Pasas con logros Pendientes",IF(AND(X15=0,Y15=1),"Pasas con logros Pendientes","Tu año esta en riesgo de perderse"))))</f>
        <v>Pasas con logros Pendientes</v>
      </c>
      <c r="AA15" s="20">
        <f t="shared" ref="AA15:AA34" si="14">X15+Y15</f>
        <v>1</v>
      </c>
      <c r="AB15" s="20"/>
      <c r="AC15" s="53"/>
      <c r="AD15" s="20"/>
      <c r="AE15" s="20"/>
      <c r="AF15" s="20">
        <f>(COUNTIF(D16:V16,"X")-AG15)</f>
        <v>1</v>
      </c>
      <c r="AG15" s="20">
        <v>0</v>
      </c>
      <c r="AH15" s="20"/>
      <c r="AI15" s="93" t="s">
        <v>10</v>
      </c>
      <c r="AJ15" s="94">
        <f t="shared" si="6"/>
        <v>0</v>
      </c>
      <c r="AK15" s="95">
        <f t="shared" si="10"/>
        <v>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16.5" thickBot="1">
      <c r="A16" s="86">
        <v>13</v>
      </c>
      <c r="B16" s="87"/>
      <c r="C16" s="202" t="s">
        <v>292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 t="s">
        <v>58</v>
      </c>
      <c r="R16" s="89"/>
      <c r="S16" s="89"/>
      <c r="T16" s="89"/>
      <c r="U16" s="89"/>
      <c r="V16" s="89"/>
      <c r="W16" s="90">
        <f t="shared" si="11"/>
        <v>1</v>
      </c>
      <c r="X16" s="38">
        <f t="shared" si="5"/>
        <v>0</v>
      </c>
      <c r="Y16" s="38">
        <f t="shared" si="12"/>
        <v>0</v>
      </c>
      <c r="Z16" s="38" t="str">
        <f t="shared" si="13"/>
        <v>Felicitaciones por el buen rendimiento Académico</v>
      </c>
      <c r="AA16" s="20">
        <f t="shared" si="14"/>
        <v>0</v>
      </c>
      <c r="AB16" s="20"/>
      <c r="AC16" s="53"/>
      <c r="AD16" s="20"/>
      <c r="AE16" s="20"/>
      <c r="AF16" s="20">
        <f>(COUNTIF(D17:V17,"X")-AG16)</f>
        <v>2</v>
      </c>
      <c r="AG16" s="20">
        <v>1</v>
      </c>
      <c r="AH16" s="20"/>
      <c r="AI16" s="51"/>
      <c r="AK16" s="52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</row>
    <row r="17" spans="1:64" ht="19.5" thickBot="1">
      <c r="A17" s="86">
        <v>14</v>
      </c>
      <c r="B17" s="87"/>
      <c r="C17" s="88" t="s">
        <v>122</v>
      </c>
      <c r="D17" s="89" t="s">
        <v>58</v>
      </c>
      <c r="E17" s="89" t="s">
        <v>58</v>
      </c>
      <c r="F17" s="89"/>
      <c r="G17" s="89"/>
      <c r="H17" s="89"/>
      <c r="I17" s="89"/>
      <c r="J17" s="89"/>
      <c r="K17" s="89"/>
      <c r="L17" s="89"/>
      <c r="M17" s="89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99">
        <f t="shared" si="11"/>
        <v>2</v>
      </c>
      <c r="X17" s="38">
        <f t="shared" si="5"/>
        <v>1</v>
      </c>
      <c r="Y17" s="38">
        <f t="shared" si="12"/>
        <v>0</v>
      </c>
      <c r="Z17" s="38" t="str">
        <f t="shared" si="13"/>
        <v>Pasas con logros Pendientes</v>
      </c>
      <c r="AA17" s="20">
        <f t="shared" si="14"/>
        <v>1</v>
      </c>
      <c r="AB17" s="20"/>
      <c r="AC17" s="53"/>
      <c r="AD17" s="20"/>
      <c r="AE17" s="20"/>
      <c r="AF17" s="20">
        <f>(COUNTIF(D18:V18,"X")-AG17)</f>
        <v>1</v>
      </c>
      <c r="AG17" s="20">
        <v>0</v>
      </c>
      <c r="AH17" s="20"/>
      <c r="AI17" s="100" t="s">
        <v>118</v>
      </c>
      <c r="AJ17" s="62">
        <f>SUM(AJ7:AJ16)</f>
        <v>31</v>
      </c>
      <c r="AK17" s="101">
        <f>SUM(AK7:AK16)</f>
        <v>1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</row>
    <row r="18" spans="1:64" ht="15.75" thickBot="1">
      <c r="A18" s="86">
        <v>15</v>
      </c>
      <c r="B18" s="87"/>
      <c r="C18" s="202" t="s">
        <v>293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 t="s">
        <v>58</v>
      </c>
      <c r="O18" s="89"/>
      <c r="P18" s="89"/>
      <c r="Q18" s="89"/>
      <c r="R18" s="89"/>
      <c r="S18" s="89"/>
      <c r="T18" s="89"/>
      <c r="U18" s="89"/>
      <c r="V18" s="89"/>
      <c r="W18" s="99"/>
      <c r="X18" s="38">
        <f t="shared" si="5"/>
        <v>0</v>
      </c>
      <c r="Y18" s="38">
        <f t="shared" si="12"/>
        <v>0</v>
      </c>
      <c r="Z18" s="38" t="str">
        <f t="shared" si="13"/>
        <v>Felicitaciones por el buen rendimiento Académico</v>
      </c>
      <c r="AA18" s="20">
        <f t="shared" si="14"/>
        <v>0</v>
      </c>
      <c r="AB18" s="20"/>
      <c r="AC18" s="20"/>
      <c r="AD18" s="20"/>
      <c r="AE18" s="20"/>
      <c r="AF18" s="20">
        <f>(COUNTIF(D19:V19,"X")-AG18)</f>
        <v>0</v>
      </c>
      <c r="AG18" s="20">
        <v>2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64" ht="16.5" thickBot="1">
      <c r="A19" s="86">
        <v>16</v>
      </c>
      <c r="B19" s="87"/>
      <c r="C19" s="88" t="s">
        <v>123</v>
      </c>
      <c r="D19" s="89"/>
      <c r="E19" s="89"/>
      <c r="F19" s="89"/>
      <c r="G19" s="89"/>
      <c r="H19" s="89"/>
      <c r="I19" s="89"/>
      <c r="J19" s="89" t="s">
        <v>58</v>
      </c>
      <c r="K19" s="89"/>
      <c r="L19" s="89"/>
      <c r="M19" s="89"/>
      <c r="N19" s="89" t="s">
        <v>58</v>
      </c>
      <c r="O19" s="89"/>
      <c r="P19" s="89"/>
      <c r="Q19" s="89"/>
      <c r="R19" s="89"/>
      <c r="S19" s="89"/>
      <c r="T19" s="89"/>
      <c r="U19" s="89"/>
      <c r="V19" s="89"/>
      <c r="W19" s="90">
        <f t="shared" ref="W19:W30" si="15">COUNTIF(D19:V19,"X")-X19</f>
        <v>2</v>
      </c>
      <c r="X19" s="38">
        <f t="shared" si="5"/>
        <v>0</v>
      </c>
      <c r="Y19" s="38">
        <f t="shared" si="12"/>
        <v>1</v>
      </c>
      <c r="Z19" s="38" t="str">
        <f t="shared" si="13"/>
        <v>Pasas con logros Pendientes</v>
      </c>
      <c r="AA19" s="20">
        <f t="shared" si="14"/>
        <v>1</v>
      </c>
      <c r="AB19" s="20"/>
      <c r="AC19" s="20"/>
      <c r="AD19" s="20"/>
      <c r="AE19" s="20"/>
      <c r="AF19" s="20">
        <f>(COUNTIF(D20:V20,"X")-AG19)</f>
        <v>-3</v>
      </c>
      <c r="AG19" s="20">
        <v>6</v>
      </c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</row>
    <row r="20" spans="1:64" ht="16.5" thickBot="1">
      <c r="A20" s="86">
        <v>17</v>
      </c>
      <c r="B20" s="87"/>
      <c r="C20" s="88" t="s">
        <v>124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 t="s">
        <v>58</v>
      </c>
      <c r="O20" s="89"/>
      <c r="P20" s="89"/>
      <c r="Q20" s="89"/>
      <c r="R20" s="89"/>
      <c r="S20" s="89" t="s">
        <v>58</v>
      </c>
      <c r="T20" s="89" t="s">
        <v>58</v>
      </c>
      <c r="U20" s="89"/>
      <c r="V20" s="89"/>
      <c r="W20" s="90">
        <f t="shared" si="15"/>
        <v>2</v>
      </c>
      <c r="X20" s="38">
        <f t="shared" si="5"/>
        <v>1</v>
      </c>
      <c r="Y20" s="38">
        <f t="shared" si="12"/>
        <v>0</v>
      </c>
      <c r="Z20" s="38" t="str">
        <f t="shared" si="13"/>
        <v>Pasas con logros Pendientes</v>
      </c>
      <c r="AA20" s="20">
        <f t="shared" si="14"/>
        <v>1</v>
      </c>
      <c r="AB20" s="20"/>
      <c r="AC20" s="20"/>
      <c r="AD20" s="20"/>
      <c r="AE20" s="20"/>
      <c r="AF20" s="20">
        <f>(COUNTIF(D21:V21,"X")-AG20)</f>
        <v>-4</v>
      </c>
      <c r="AG20" s="20">
        <v>4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</row>
    <row r="21" spans="1:64" ht="16.5" thickBot="1">
      <c r="A21" s="86">
        <v>18</v>
      </c>
      <c r="B21" s="87"/>
      <c r="C21" s="202" t="s">
        <v>294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90">
        <f t="shared" si="15"/>
        <v>0</v>
      </c>
      <c r="X21" s="38">
        <f t="shared" si="5"/>
        <v>0</v>
      </c>
      <c r="Y21" s="38">
        <f t="shared" si="12"/>
        <v>0</v>
      </c>
      <c r="Z21" s="38" t="str">
        <f t="shared" si="13"/>
        <v>Felicitaciones por el buen rendimiento Académico</v>
      </c>
      <c r="AA21" s="20">
        <f t="shared" si="14"/>
        <v>0</v>
      </c>
      <c r="AB21" s="20"/>
      <c r="AC21" s="20"/>
      <c r="AD21" s="20"/>
      <c r="AE21" s="20"/>
      <c r="AF21" s="20">
        <f>(COUNTIF(D22:V22,"X")-AG21)</f>
        <v>8</v>
      </c>
      <c r="AG21" s="20">
        <v>2</v>
      </c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</row>
    <row r="22" spans="1:64" ht="16.5" thickBot="1">
      <c r="A22" s="86">
        <v>19</v>
      </c>
      <c r="B22" s="87"/>
      <c r="C22" s="88" t="s">
        <v>125</v>
      </c>
      <c r="D22" s="89"/>
      <c r="E22" s="89"/>
      <c r="F22" s="89"/>
      <c r="G22" s="89" t="s">
        <v>58</v>
      </c>
      <c r="H22" s="89" t="s">
        <v>58</v>
      </c>
      <c r="I22" s="89"/>
      <c r="J22" s="89" t="s">
        <v>58</v>
      </c>
      <c r="K22" s="89"/>
      <c r="L22" s="89" t="s">
        <v>58</v>
      </c>
      <c r="M22" s="89" t="s">
        <v>58</v>
      </c>
      <c r="N22" s="89" t="s">
        <v>58</v>
      </c>
      <c r="O22" s="89"/>
      <c r="P22" s="89" t="s">
        <v>58</v>
      </c>
      <c r="Q22" s="89"/>
      <c r="R22" s="89" t="s">
        <v>58</v>
      </c>
      <c r="S22" s="89" t="s">
        <v>58</v>
      </c>
      <c r="T22" s="89" t="s">
        <v>58</v>
      </c>
      <c r="U22" s="89"/>
      <c r="V22" s="89"/>
      <c r="W22" s="90">
        <f t="shared" si="15"/>
        <v>6</v>
      </c>
      <c r="X22" s="38">
        <f t="shared" si="5"/>
        <v>4</v>
      </c>
      <c r="Y22" s="38">
        <f t="shared" si="12"/>
        <v>1</v>
      </c>
      <c r="Z22" s="38" t="str">
        <f t="shared" si="13"/>
        <v>Tu año esta en riesgo de perderse</v>
      </c>
      <c r="AA22" s="20">
        <f t="shared" si="14"/>
        <v>5</v>
      </c>
      <c r="AB22" s="20"/>
      <c r="AC22" s="20"/>
      <c r="AD22" s="20"/>
      <c r="AE22" s="20"/>
      <c r="AF22" s="20">
        <f>(COUNTIF(D23:V23,"X")-AG22)</f>
        <v>-4</v>
      </c>
      <c r="AG22" s="20">
        <v>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</row>
    <row r="23" spans="1:64" ht="15.75" customHeight="1" thickBot="1">
      <c r="A23" s="86">
        <v>20</v>
      </c>
      <c r="B23" s="87"/>
      <c r="C23" s="202" t="s">
        <v>295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 t="s">
        <v>58</v>
      </c>
      <c r="O23" s="89"/>
      <c r="P23" s="89"/>
      <c r="Q23" s="89"/>
      <c r="R23" s="89"/>
      <c r="S23" s="89"/>
      <c r="T23" s="89"/>
      <c r="U23" s="89"/>
      <c r="V23" s="89"/>
      <c r="W23" s="90">
        <f t="shared" si="15"/>
        <v>1</v>
      </c>
      <c r="X23" s="38">
        <f t="shared" si="5"/>
        <v>0</v>
      </c>
      <c r="Y23" s="38">
        <f t="shared" si="12"/>
        <v>0</v>
      </c>
      <c r="Z23" s="38" t="str">
        <f t="shared" si="13"/>
        <v>Felicitaciones por el buen rendimiento Académico</v>
      </c>
      <c r="AA23" s="20">
        <f t="shared" si="14"/>
        <v>0</v>
      </c>
      <c r="AB23" s="20"/>
      <c r="AC23" s="20"/>
      <c r="AD23" s="20"/>
      <c r="AE23" s="20"/>
      <c r="AF23" s="20">
        <f>(COUNTIF(D24:V24,"X")-AG23)</f>
        <v>1</v>
      </c>
      <c r="AG23" s="20">
        <v>2</v>
      </c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4" spans="1:64" ht="15.75" customHeight="1" thickBot="1">
      <c r="A24" s="86">
        <v>21</v>
      </c>
      <c r="B24" s="87"/>
      <c r="C24" s="88" t="s">
        <v>126</v>
      </c>
      <c r="D24" s="89" t="s">
        <v>58</v>
      </c>
      <c r="E24" s="89" t="s">
        <v>58</v>
      </c>
      <c r="F24" s="89"/>
      <c r="G24" s="89"/>
      <c r="H24" s="89"/>
      <c r="I24" s="89"/>
      <c r="J24" s="89"/>
      <c r="K24" s="89"/>
      <c r="L24" s="89"/>
      <c r="M24" s="89"/>
      <c r="N24" s="89" t="s">
        <v>58</v>
      </c>
      <c r="O24" s="89"/>
      <c r="P24" s="89"/>
      <c r="Q24" s="89"/>
      <c r="R24" s="89"/>
      <c r="S24" s="89"/>
      <c r="T24" s="89"/>
      <c r="U24" s="89"/>
      <c r="V24" s="89"/>
      <c r="W24" s="90">
        <f t="shared" si="15"/>
        <v>2</v>
      </c>
      <c r="X24" s="38">
        <f t="shared" si="5"/>
        <v>1</v>
      </c>
      <c r="Y24" s="38">
        <f t="shared" si="12"/>
        <v>0</v>
      </c>
      <c r="Z24" s="38" t="str">
        <f t="shared" si="13"/>
        <v>Pasas con logros Pendientes</v>
      </c>
      <c r="AA24" s="20">
        <f t="shared" si="14"/>
        <v>1</v>
      </c>
      <c r="AB24" s="20"/>
      <c r="AC24" s="20"/>
      <c r="AD24" s="20"/>
      <c r="AE24" s="20"/>
      <c r="AF24" s="20">
        <f>(COUNTIF(D25:V25,"X")-AG24)</f>
        <v>-3</v>
      </c>
      <c r="AG24" s="20">
        <v>5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</row>
    <row r="25" spans="1:64" ht="15.75" customHeight="1" thickBot="1">
      <c r="A25" s="86">
        <v>22</v>
      </c>
      <c r="B25" s="87"/>
      <c r="C25" s="156" t="s">
        <v>278</v>
      </c>
      <c r="D25" s="89"/>
      <c r="E25" s="89"/>
      <c r="F25" s="89"/>
      <c r="G25" s="89"/>
      <c r="H25" s="89"/>
      <c r="I25" s="89"/>
      <c r="J25" s="89" t="s">
        <v>58</v>
      </c>
      <c r="K25" s="89"/>
      <c r="L25" s="89"/>
      <c r="M25" s="89"/>
      <c r="N25" s="89" t="s">
        <v>58</v>
      </c>
      <c r="O25" s="89"/>
      <c r="P25" s="89"/>
      <c r="Q25" s="89"/>
      <c r="R25" s="89"/>
      <c r="S25" s="89"/>
      <c r="T25" s="89"/>
      <c r="U25" s="89"/>
      <c r="V25" s="89"/>
      <c r="W25" s="90">
        <f t="shared" si="15"/>
        <v>2</v>
      </c>
      <c r="X25" s="38">
        <f t="shared" si="5"/>
        <v>0</v>
      </c>
      <c r="Y25" s="38">
        <f t="shared" si="12"/>
        <v>1</v>
      </c>
      <c r="Z25" s="38" t="str">
        <f t="shared" si="13"/>
        <v>Pasas con logros Pendientes</v>
      </c>
      <c r="AA25" s="20">
        <f t="shared" si="14"/>
        <v>1</v>
      </c>
      <c r="AB25" s="20"/>
      <c r="AC25" s="20"/>
      <c r="AD25" s="20"/>
      <c r="AE25" s="20"/>
      <c r="AF25" s="20">
        <f>(COUNTIF(D26:V26,"X")-AG25)</f>
        <v>1</v>
      </c>
      <c r="AG25" s="20">
        <v>0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</row>
    <row r="26" spans="1:64" ht="15.75" customHeight="1" thickBot="1">
      <c r="A26" s="86">
        <v>23</v>
      </c>
      <c r="B26" s="87"/>
      <c r="C26" s="156" t="s">
        <v>279</v>
      </c>
      <c r="D26" s="89"/>
      <c r="E26" s="89"/>
      <c r="F26" s="89"/>
      <c r="G26" s="89"/>
      <c r="H26" s="89"/>
      <c r="I26" s="89"/>
      <c r="J26" s="89" t="s">
        <v>58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>
        <f t="shared" si="15"/>
        <v>1</v>
      </c>
      <c r="X26" s="38">
        <f t="shared" si="5"/>
        <v>0</v>
      </c>
      <c r="Y26" s="38">
        <f t="shared" si="12"/>
        <v>1</v>
      </c>
      <c r="Z26" s="38" t="str">
        <f t="shared" si="13"/>
        <v>Pasas con logros Pendientes</v>
      </c>
      <c r="AA26" s="20">
        <f t="shared" si="14"/>
        <v>1</v>
      </c>
      <c r="AB26" s="20"/>
      <c r="AC26" s="20"/>
      <c r="AD26" s="20"/>
      <c r="AE26" s="20"/>
      <c r="AF26" s="20">
        <f>(COUNTIF(D27:V27,"X")-AG26)</f>
        <v>-1</v>
      </c>
      <c r="AG26" s="20">
        <v>3</v>
      </c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</row>
    <row r="27" spans="1:64" ht="15.75" customHeight="1" thickBot="1">
      <c r="A27" s="86">
        <v>24</v>
      </c>
      <c r="B27" s="87"/>
      <c r="C27" s="88" t="s">
        <v>127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 t="s">
        <v>58</v>
      </c>
      <c r="T27" s="89"/>
      <c r="U27" s="89" t="s">
        <v>58</v>
      </c>
      <c r="V27" s="89"/>
      <c r="W27" s="90">
        <f t="shared" si="15"/>
        <v>1</v>
      </c>
      <c r="X27" s="38">
        <f t="shared" si="5"/>
        <v>1</v>
      </c>
      <c r="Y27" s="38">
        <f t="shared" si="12"/>
        <v>0</v>
      </c>
      <c r="Z27" s="38" t="str">
        <f t="shared" si="13"/>
        <v>Pasas con logros Pendientes</v>
      </c>
      <c r="AA27" s="20">
        <f t="shared" si="14"/>
        <v>1</v>
      </c>
      <c r="AB27" s="20"/>
      <c r="AC27" s="20"/>
      <c r="AD27" s="20"/>
      <c r="AE27" s="20"/>
      <c r="AF27" s="20">
        <f>(COUNTIF(D28:V28,"X")-AG27)</f>
        <v>-1</v>
      </c>
      <c r="AG27" s="20">
        <v>1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64" ht="15.75" customHeight="1" thickBot="1">
      <c r="A28" s="86">
        <v>25</v>
      </c>
      <c r="B28" s="87"/>
      <c r="C28" s="202" t="s">
        <v>296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90">
        <f t="shared" si="15"/>
        <v>0</v>
      </c>
      <c r="X28" s="38">
        <f t="shared" si="5"/>
        <v>0</v>
      </c>
      <c r="Y28" s="38">
        <f t="shared" si="12"/>
        <v>0</v>
      </c>
      <c r="Z28" s="38" t="str">
        <f t="shared" si="13"/>
        <v>Felicitaciones por el buen rendimiento Académico</v>
      </c>
      <c r="AA28" s="20">
        <f t="shared" si="14"/>
        <v>0</v>
      </c>
      <c r="AB28" s="20"/>
      <c r="AC28" s="20"/>
      <c r="AD28" s="20"/>
      <c r="AE28" s="20"/>
      <c r="AF28" s="20">
        <f>(COUNTIF(D29:V29,"X")-AG28)</f>
        <v>-3</v>
      </c>
      <c r="AG28" s="20">
        <v>3</v>
      </c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64" ht="15.75" customHeight="1" thickBot="1">
      <c r="A29" s="86">
        <v>26</v>
      </c>
      <c r="B29" s="87"/>
      <c r="C29" s="202" t="s">
        <v>297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90">
        <f t="shared" si="15"/>
        <v>0</v>
      </c>
      <c r="X29" s="38">
        <f t="shared" si="5"/>
        <v>0</v>
      </c>
      <c r="Y29" s="38">
        <f t="shared" si="12"/>
        <v>0</v>
      </c>
      <c r="Z29" s="38" t="str">
        <f t="shared" si="13"/>
        <v>Felicitaciones por el buen rendimiento Académico</v>
      </c>
      <c r="AA29" s="20">
        <f t="shared" si="14"/>
        <v>0</v>
      </c>
      <c r="AB29" s="20"/>
      <c r="AC29" s="20"/>
      <c r="AD29" s="20"/>
      <c r="AE29" s="20"/>
      <c r="AF29" s="20">
        <f>(COUNTIF(D30:V30,"X")-AG29)</f>
        <v>9</v>
      </c>
      <c r="AG29" s="20">
        <v>0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</row>
    <row r="30" spans="1:64" ht="15.75" customHeight="1" thickBot="1">
      <c r="A30" s="86">
        <v>27</v>
      </c>
      <c r="B30" s="102"/>
      <c r="C30" s="157" t="s">
        <v>280</v>
      </c>
      <c r="D30" s="89"/>
      <c r="E30" s="89"/>
      <c r="F30" s="89"/>
      <c r="G30" s="89" t="s">
        <v>58</v>
      </c>
      <c r="H30" s="89" t="s">
        <v>58</v>
      </c>
      <c r="I30" s="89"/>
      <c r="J30" s="89" t="s">
        <v>58</v>
      </c>
      <c r="K30" s="89"/>
      <c r="L30" s="89"/>
      <c r="M30" s="89"/>
      <c r="N30" s="89" t="s">
        <v>58</v>
      </c>
      <c r="O30" s="89"/>
      <c r="P30" s="89" t="s">
        <v>58</v>
      </c>
      <c r="Q30" s="89" t="s">
        <v>58</v>
      </c>
      <c r="R30" s="89" t="s">
        <v>58</v>
      </c>
      <c r="S30" s="89" t="s">
        <v>58</v>
      </c>
      <c r="T30" s="89" t="s">
        <v>58</v>
      </c>
      <c r="U30" s="89"/>
      <c r="V30" s="89"/>
      <c r="W30" s="90">
        <f t="shared" si="15"/>
        <v>6</v>
      </c>
      <c r="X30" s="38">
        <f t="shared" si="5"/>
        <v>3</v>
      </c>
      <c r="Y30" s="38">
        <f t="shared" si="12"/>
        <v>1</v>
      </c>
      <c r="Z30" s="38" t="str">
        <f t="shared" si="13"/>
        <v>Tu año esta en riesgo de perderse</v>
      </c>
      <c r="AA30" s="20">
        <f t="shared" si="14"/>
        <v>4</v>
      </c>
      <c r="AB30" s="20"/>
      <c r="AC30" s="20"/>
      <c r="AD30" s="20"/>
      <c r="AE30" s="20"/>
      <c r="AF30" s="20">
        <f>(COUNTIF(D31:V31,"X")-AG30)</f>
        <v>0</v>
      </c>
      <c r="AG30" s="20">
        <v>2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</row>
    <row r="31" spans="1:64" ht="15.75" customHeight="1" thickBot="1">
      <c r="A31" s="86">
        <v>28</v>
      </c>
      <c r="B31" s="103"/>
      <c r="C31" s="158" t="s">
        <v>281</v>
      </c>
      <c r="D31" s="89"/>
      <c r="E31" s="89"/>
      <c r="F31" s="89"/>
      <c r="G31" s="89"/>
      <c r="H31" s="89"/>
      <c r="I31" s="89"/>
      <c r="J31" s="89" t="s">
        <v>58</v>
      </c>
      <c r="K31" s="89"/>
      <c r="L31" s="89"/>
      <c r="M31" s="89"/>
      <c r="N31" s="89" t="s">
        <v>58</v>
      </c>
      <c r="O31" s="89"/>
      <c r="P31" s="89"/>
      <c r="Q31" s="89"/>
      <c r="R31" s="89"/>
      <c r="S31" s="89"/>
      <c r="T31" s="89"/>
      <c r="U31" s="89"/>
      <c r="V31" s="89"/>
      <c r="W31" s="90">
        <f t="shared" ref="W31:W35" si="16">COUNTIF(D31:V31,"X")-X31</f>
        <v>2</v>
      </c>
      <c r="X31" s="38">
        <f t="shared" si="5"/>
        <v>0</v>
      </c>
      <c r="Y31" s="38">
        <f t="shared" ref="Y31:Y34" si="17">COUNTA(J31,K31,V31)</f>
        <v>1</v>
      </c>
      <c r="Z31" s="38" t="str">
        <f t="shared" ref="Z31:Z34" si="18">IF(AND(X31=0,Y31=0),"Felicitaciones por el buen rendimiento Académico",IF(AND(X31=1,Y31=1),"Pasas con logros Pendientes",IF(AND(X31=1,Y31=0),"Pasas con logros Pendientes",IF(AND(X31=0,Y31=1),"Pasas con logros Pendientes","Tu año esta en riesgo de perderse"))))</f>
        <v>Pasas con logros Pendientes</v>
      </c>
      <c r="AA31" s="20">
        <f t="shared" si="14"/>
        <v>1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</row>
    <row r="32" spans="1:64" ht="15.75" customHeight="1" thickBot="1">
      <c r="A32" s="86">
        <v>29</v>
      </c>
      <c r="B32" s="103"/>
      <c r="C32" s="203" t="s">
        <v>282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90">
        <f t="shared" si="16"/>
        <v>0</v>
      </c>
      <c r="X32" s="38">
        <f t="shared" si="5"/>
        <v>0</v>
      </c>
      <c r="Y32" s="38">
        <f t="shared" si="17"/>
        <v>0</v>
      </c>
      <c r="Z32" s="38" t="str">
        <f t="shared" si="18"/>
        <v>Felicitaciones por el buen rendimiento Académico</v>
      </c>
      <c r="AA32" s="20">
        <f t="shared" si="14"/>
        <v>0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pans="1:64" ht="15.75" customHeight="1" thickBot="1">
      <c r="A33" s="86">
        <v>30</v>
      </c>
      <c r="B33" s="103"/>
      <c r="C33" s="203" t="s">
        <v>283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90">
        <f t="shared" si="16"/>
        <v>0</v>
      </c>
      <c r="X33" s="38">
        <f t="shared" si="5"/>
        <v>0</v>
      </c>
      <c r="Y33" s="38">
        <f t="shared" si="17"/>
        <v>0</v>
      </c>
      <c r="Z33" s="38" t="str">
        <f t="shared" si="18"/>
        <v>Felicitaciones por el buen rendimiento Académico</v>
      </c>
      <c r="AA33" s="20">
        <f t="shared" si="14"/>
        <v>0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64" ht="15.75" customHeight="1" thickBot="1">
      <c r="A34" s="86">
        <v>31</v>
      </c>
      <c r="B34" s="103"/>
      <c r="C34" s="158" t="s">
        <v>284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 t="s">
        <v>58</v>
      </c>
      <c r="O34" s="89"/>
      <c r="P34" s="89" t="s">
        <v>58</v>
      </c>
      <c r="Q34" s="89"/>
      <c r="R34" s="89" t="s">
        <v>58</v>
      </c>
      <c r="S34" s="89" t="s">
        <v>58</v>
      </c>
      <c r="T34" s="89" t="s">
        <v>58</v>
      </c>
      <c r="U34" s="89"/>
      <c r="V34" s="89"/>
      <c r="W34" s="90">
        <f t="shared" si="16"/>
        <v>3</v>
      </c>
      <c r="X34" s="38">
        <f t="shared" si="5"/>
        <v>2</v>
      </c>
      <c r="Y34" s="38">
        <f t="shared" si="17"/>
        <v>0</v>
      </c>
      <c r="Z34" s="38" t="str">
        <f t="shared" si="18"/>
        <v>Tu año esta en riesgo de perderse</v>
      </c>
      <c r="AA34" s="20">
        <f t="shared" si="14"/>
        <v>2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</row>
    <row r="35" spans="1:64" ht="15.75" customHeight="1" thickBot="1">
      <c r="A35" s="104"/>
      <c r="B35" s="56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90">
        <f t="shared" si="16"/>
        <v>0</v>
      </c>
      <c r="X35" s="38"/>
      <c r="Y35" s="38"/>
      <c r="Z35" s="38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</row>
    <row r="36" spans="1:64" ht="15.75" customHeight="1">
      <c r="A36" s="107"/>
      <c r="D36" s="50">
        <f t="shared" ref="D36:L36" si="19">COUNTIF(D4:D30,"X")</f>
        <v>7</v>
      </c>
      <c r="E36" s="50">
        <f t="shared" si="19"/>
        <v>7</v>
      </c>
      <c r="F36" s="50">
        <f t="shared" si="19"/>
        <v>1</v>
      </c>
      <c r="G36" s="50">
        <f>COUNTIF(G5:G31,"X")</f>
        <v>5</v>
      </c>
      <c r="H36" s="50">
        <f>COUNTIF(H5:H31,"X")</f>
        <v>5</v>
      </c>
      <c r="I36" s="50">
        <f>COUNTIF(I5:I31,"X")</f>
        <v>1</v>
      </c>
      <c r="J36" s="50">
        <f t="shared" si="19"/>
        <v>8</v>
      </c>
      <c r="K36" s="50">
        <f t="shared" si="19"/>
        <v>2</v>
      </c>
      <c r="L36" s="50">
        <f t="shared" si="19"/>
        <v>5</v>
      </c>
      <c r="M36" s="50">
        <f>COUNTIF(M4:M30,TRUE)</f>
        <v>0</v>
      </c>
      <c r="N36" s="50">
        <f t="shared" ref="N36:V36" si="20">COUNTIF(N4:N30,"X")</f>
        <v>18</v>
      </c>
      <c r="O36" s="50">
        <f t="shared" si="20"/>
        <v>0</v>
      </c>
      <c r="P36" s="50">
        <f t="shared" si="20"/>
        <v>6</v>
      </c>
      <c r="Q36" s="50">
        <f t="shared" si="20"/>
        <v>6</v>
      </c>
      <c r="R36" s="50">
        <f t="shared" si="20"/>
        <v>6</v>
      </c>
      <c r="S36" s="50">
        <f t="shared" si="20"/>
        <v>10</v>
      </c>
      <c r="T36" s="50">
        <f t="shared" si="20"/>
        <v>9</v>
      </c>
      <c r="U36" s="50">
        <f t="shared" si="20"/>
        <v>5</v>
      </c>
      <c r="V36" s="50">
        <f t="shared" si="20"/>
        <v>0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</row>
    <row r="37" spans="1:64" ht="15.75" customHeight="1">
      <c r="A37" s="6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pans="1:64" ht="15.75" customHeight="1">
      <c r="A38" s="6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</row>
    <row r="39" spans="1:64" ht="15.75" customHeight="1">
      <c r="A39" s="6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spans="1:64" ht="15.75" customHeight="1">
      <c r="A40" s="6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spans="1:64" ht="15.75" customHeight="1">
      <c r="A41" s="6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64" ht="15.75" customHeight="1">
      <c r="A42" s="6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</row>
    <row r="43" spans="1:64" ht="15.75" customHeight="1">
      <c r="A43" s="6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spans="1:64" ht="15.75" customHeight="1">
      <c r="A44" s="60"/>
      <c r="AA44" s="61" t="s">
        <v>99</v>
      </c>
      <c r="AB44" s="20"/>
      <c r="AC44" s="61" t="s">
        <v>100</v>
      </c>
      <c r="AD44" s="61" t="s">
        <v>23</v>
      </c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spans="1:64" ht="15.75" customHeight="1">
      <c r="A45" s="60"/>
      <c r="AA45" s="62" t="s">
        <v>101</v>
      </c>
      <c r="AB45" s="61"/>
      <c r="AC45" s="49">
        <f>COUNTIF(Z4:Z30,"Felicitaciones por el buen rendimiento Académico")+1</f>
        <v>11</v>
      </c>
      <c r="AD45" s="63">
        <f>AC45/$AC$48</f>
        <v>0.36666666666666664</v>
      </c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</row>
    <row r="46" spans="1:64" ht="15.75" customHeight="1">
      <c r="A46" s="60"/>
      <c r="AA46" s="62" t="s">
        <v>102</v>
      </c>
      <c r="AB46" s="62"/>
      <c r="AC46" s="49">
        <f>COUNTIF($Z$4:$Z$30,"Pasas con logros Pendientes")</f>
        <v>9</v>
      </c>
      <c r="AD46" s="63">
        <f>AC46/$AC$48</f>
        <v>0.3</v>
      </c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</row>
    <row r="47" spans="1:64" ht="15.75" customHeight="1">
      <c r="A47" s="60"/>
      <c r="AA47" s="61" t="s">
        <v>103</v>
      </c>
      <c r="AB47" s="62"/>
      <c r="AC47" s="49">
        <f>COUNTIF($Z$4:$Z$30,"Tu año esta en riesgo de perderse")</f>
        <v>8</v>
      </c>
      <c r="AD47" s="63">
        <f>AC47/$AC$48</f>
        <v>0.26666666666666666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</row>
    <row r="48" spans="1:64" ht="15.75" customHeight="1">
      <c r="A48" s="60"/>
      <c r="AA48" s="65" t="s">
        <v>104</v>
      </c>
      <c r="AB48" s="61"/>
      <c r="AC48" s="65">
        <v>30</v>
      </c>
      <c r="AD48" s="66">
        <v>1</v>
      </c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</row>
    <row r="49" spans="1:64" ht="15.75" customHeight="1">
      <c r="A49" s="64"/>
      <c r="AA49" s="20"/>
      <c r="AB49" s="65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</row>
    <row r="50" spans="1:64" ht="15.75" customHeight="1" thickBot="1">
      <c r="A50" s="67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</row>
    <row r="51" spans="1:64" ht="15.75" customHeight="1"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</row>
    <row r="52" spans="1:64" ht="15.75" customHeight="1"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</row>
    <row r="53" spans="1:64" ht="15.75" customHeight="1"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</row>
    <row r="54" spans="1:64" ht="15.75" customHeight="1"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</row>
    <row r="55" spans="1:64" ht="15.75" customHeight="1"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64" ht="15.75" customHeight="1"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</row>
    <row r="57" spans="1:64" ht="15.75" customHeight="1"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</row>
    <row r="58" spans="1:64" ht="15.75" customHeight="1"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</row>
    <row r="59" spans="1:64" ht="15.75" customHeight="1"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</row>
    <row r="60" spans="1:64" ht="15.75" customHeight="1"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</row>
    <row r="61" spans="1:64" ht="15.75" customHeight="1"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</row>
    <row r="62" spans="1:64" ht="15.75" customHeight="1"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</row>
    <row r="63" spans="1:64" ht="15.75" customHeight="1"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</row>
    <row r="64" spans="1:64" ht="15.75" customHeight="1"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</row>
    <row r="65" spans="27:64" ht="15.75" customHeight="1"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</row>
    <row r="66" spans="27:64" ht="15.75" customHeight="1"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</row>
    <row r="67" spans="27:64" ht="15.75" customHeight="1"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</row>
    <row r="68" spans="27:64" ht="15.75" customHeight="1"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</row>
    <row r="69" spans="27:64" ht="15.75" customHeight="1"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27:64" ht="15.75" customHeight="1"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</row>
    <row r="71" spans="27:64" ht="15.75" customHeight="1"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</row>
    <row r="72" spans="27:64" ht="15.75" customHeight="1"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</row>
    <row r="73" spans="27:64" ht="15.75" customHeight="1"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</row>
    <row r="74" spans="27:64" ht="15.75" customHeight="1"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</row>
    <row r="75" spans="27:64" ht="15.75" customHeight="1"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</row>
    <row r="76" spans="27:64" ht="15.75" customHeight="1"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</row>
    <row r="77" spans="27:64" ht="15.75" customHeight="1"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</row>
    <row r="78" spans="27:64" ht="15.75" customHeight="1"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</row>
    <row r="79" spans="27:64" ht="15.75" customHeight="1"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</row>
    <row r="80" spans="27:64" ht="15.75" customHeight="1"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</row>
    <row r="81" spans="27:64" ht="15.75" customHeight="1"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</row>
    <row r="82" spans="27:64" ht="15.75" customHeight="1"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</row>
    <row r="83" spans="27:64" ht="15.75" customHeight="1"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</row>
    <row r="84" spans="27:64" ht="15.75" customHeight="1"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</row>
    <row r="85" spans="27:64" ht="15.75" customHeight="1"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</row>
    <row r="86" spans="27:64" ht="15.75" customHeight="1"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</row>
    <row r="87" spans="27:64" ht="15.75" customHeight="1"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</row>
    <row r="88" spans="27:64" ht="15.75" customHeight="1"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</row>
    <row r="89" spans="27:64" ht="15.75" customHeight="1"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</row>
    <row r="90" spans="27:64" ht="15.75" customHeight="1"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</row>
    <row r="91" spans="27:64" ht="15.75" customHeight="1"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</row>
    <row r="92" spans="27:64" ht="15.75" customHeight="1"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</row>
    <row r="93" spans="27:64" ht="15.75" customHeight="1"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</row>
    <row r="94" spans="27:64" ht="15.75" customHeight="1"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</row>
    <row r="95" spans="27:64" ht="15.75" customHeight="1"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</row>
    <row r="96" spans="27:64" ht="15.75" customHeight="1"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</row>
    <row r="97" spans="27:64" ht="15.75" customHeight="1"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</row>
    <row r="98" spans="27:64" ht="15.75" customHeight="1"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</row>
    <row r="99" spans="27:64" ht="15.75" customHeight="1"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</row>
    <row r="100" spans="27:64" ht="15.75" customHeight="1"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</row>
    <row r="101" spans="27:64" ht="15.75" customHeight="1"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</row>
    <row r="102" spans="27:64" ht="15.75" customHeight="1"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</row>
    <row r="103" spans="27:64" ht="15.75" customHeight="1"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</row>
    <row r="104" spans="27:64" ht="15.75" customHeight="1"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</row>
    <row r="105" spans="27:64" ht="15.75" customHeight="1"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</row>
    <row r="106" spans="27:64" ht="15.75" customHeight="1"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</row>
    <row r="107" spans="27:64" ht="15.75" customHeight="1"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</row>
    <row r="108" spans="27:64" ht="15.75" customHeight="1"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</row>
    <row r="109" spans="27:64" ht="15.75" customHeight="1"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</row>
    <row r="110" spans="27:64" ht="15.75" customHeight="1"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</row>
    <row r="111" spans="27:64" ht="15.75" customHeight="1"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</row>
    <row r="112" spans="27:64" ht="15.75" customHeight="1"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</row>
    <row r="113" spans="27:64" ht="15.75" customHeight="1"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</row>
    <row r="114" spans="27:64" ht="15.75" customHeight="1"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</row>
    <row r="115" spans="27:64" ht="15.75" customHeight="1"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</row>
    <row r="116" spans="27:64" ht="15.75" customHeight="1"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</row>
    <row r="117" spans="27:64" ht="15.75" customHeight="1"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</row>
    <row r="118" spans="27:64" ht="15.75" customHeight="1"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</row>
    <row r="119" spans="27:64" ht="15.75" customHeight="1"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</row>
    <row r="120" spans="27:64" ht="15.75" customHeight="1"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</row>
    <row r="121" spans="27:64" ht="15.75" customHeight="1"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</row>
    <row r="122" spans="27:64" ht="15.75" customHeight="1"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</row>
    <row r="123" spans="27:64" ht="15.75" customHeight="1"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</row>
    <row r="124" spans="27:64" ht="15.75" customHeight="1"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</row>
    <row r="125" spans="27:64" ht="15.75" customHeight="1"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</row>
    <row r="126" spans="27:64" ht="15.75" customHeight="1"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</row>
    <row r="127" spans="27:64" ht="15.75" customHeight="1"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</row>
    <row r="128" spans="27:64" ht="15.75" customHeight="1"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</row>
    <row r="129" spans="27:64" ht="15.75" customHeight="1"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</row>
    <row r="130" spans="27:64" ht="15.75" customHeight="1"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</row>
    <row r="131" spans="27:64" ht="15.75" customHeight="1"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</row>
    <row r="132" spans="27:64" ht="15.75" customHeight="1"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</row>
    <row r="133" spans="27:64" ht="15.75" customHeight="1"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</row>
    <row r="134" spans="27:64" ht="15.75" customHeight="1"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</row>
    <row r="135" spans="27:64" ht="15.75" customHeight="1"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</row>
    <row r="136" spans="27:64" ht="15.75" customHeight="1"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</row>
    <row r="137" spans="27:64" ht="15.75" customHeight="1"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</row>
    <row r="138" spans="27:64" ht="15.75" customHeight="1"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</row>
    <row r="139" spans="27:64" ht="15.75" customHeight="1"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</row>
    <row r="140" spans="27:64" ht="15.75" customHeight="1"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</row>
    <row r="141" spans="27:64" ht="15.75" customHeight="1"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</row>
    <row r="142" spans="27:64" ht="15.75" customHeight="1"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</row>
    <row r="143" spans="27:64" ht="15.75" customHeight="1"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</row>
    <row r="144" spans="27:64" ht="15.75" customHeight="1"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</row>
    <row r="145" spans="27:64" ht="15.75" customHeight="1"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</row>
    <row r="146" spans="27:64" ht="15.75" customHeight="1"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</row>
    <row r="147" spans="27:64" ht="15.75" customHeight="1"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</row>
    <row r="148" spans="27:64" ht="15.75" customHeight="1"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</row>
    <row r="149" spans="27:64" ht="15.75" customHeight="1"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</row>
    <row r="150" spans="27:64" ht="15.75" customHeight="1"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</row>
    <row r="151" spans="27:64" ht="15.75" customHeight="1"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</row>
    <row r="152" spans="27:64" ht="15.75" customHeight="1"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</row>
    <row r="153" spans="27:64" ht="15.75" customHeight="1"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</row>
    <row r="154" spans="27:64" ht="15.75" customHeight="1"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</row>
    <row r="155" spans="27:64" ht="15.75" customHeight="1"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</row>
    <row r="156" spans="27:64" ht="15.75" customHeight="1"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</row>
    <row r="157" spans="27:64" ht="15.75" customHeight="1"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</row>
    <row r="158" spans="27:64" ht="15.75" customHeight="1"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</row>
    <row r="159" spans="27:64" ht="15.75" customHeight="1"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</row>
    <row r="160" spans="27:64" ht="15.75" customHeight="1"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</row>
    <row r="161" spans="27:64" ht="15.75" customHeight="1"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</row>
    <row r="162" spans="27:64" ht="15.75" customHeight="1"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</row>
    <row r="163" spans="27:64" ht="15.75" customHeight="1"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</row>
    <row r="164" spans="27:64" ht="15.75" customHeight="1"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</row>
    <row r="165" spans="27:64" ht="15.75" customHeight="1"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</row>
    <row r="166" spans="27:64" ht="15.75" customHeight="1"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</row>
    <row r="167" spans="27:64" ht="15.75" customHeight="1"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</row>
    <row r="168" spans="27:64" ht="15.75" customHeight="1"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</row>
    <row r="169" spans="27:64" ht="15.75" customHeight="1"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</row>
    <row r="170" spans="27:64" ht="15.75" customHeight="1"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</row>
    <row r="171" spans="27:64" ht="15.75" customHeight="1"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</row>
    <row r="172" spans="27:64" ht="15.75" customHeight="1"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</row>
    <row r="173" spans="27:64" ht="15.75" customHeight="1"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</row>
    <row r="174" spans="27:64" ht="15.75" customHeight="1"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</row>
    <row r="175" spans="27:64" ht="15.75" customHeight="1"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</row>
    <row r="176" spans="27:64" ht="15.75" customHeight="1"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</row>
    <row r="177" spans="27:64" ht="15.75" customHeight="1"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</row>
    <row r="178" spans="27:64" ht="15.75" customHeight="1"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</row>
    <row r="179" spans="27:64" ht="15.75" customHeight="1"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</row>
    <row r="180" spans="27:64" ht="15.75" customHeight="1"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</row>
    <row r="181" spans="27:64" ht="15.75" customHeight="1"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</row>
    <row r="182" spans="27:64" ht="15.75" customHeight="1"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</row>
    <row r="183" spans="27:64" ht="15.75" customHeight="1"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</row>
    <row r="184" spans="27:64" ht="15.75" customHeight="1"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</row>
    <row r="185" spans="27:64" ht="15.75" customHeight="1"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</row>
    <row r="186" spans="27:64" ht="15.75" customHeight="1"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</row>
    <row r="187" spans="27:64" ht="15.75" customHeight="1"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</row>
    <row r="188" spans="27:64" ht="15.75" customHeight="1"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</row>
    <row r="189" spans="27:64" ht="15.75" customHeight="1"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</row>
    <row r="190" spans="27:64" ht="15.75" customHeight="1"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</row>
    <row r="191" spans="27:64" ht="15.75" customHeight="1"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</row>
    <row r="192" spans="27:64" ht="15.75" customHeight="1"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</row>
    <row r="193" spans="27:64" ht="15.75" customHeight="1"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</row>
    <row r="194" spans="27:64" ht="15.75" customHeight="1"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</row>
    <row r="195" spans="27:64" ht="15.75" customHeight="1"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</row>
    <row r="196" spans="27:64" ht="15.75" customHeight="1"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</row>
    <row r="197" spans="27:64" ht="15.75" customHeight="1"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</row>
    <row r="198" spans="27:64" ht="15.75" customHeight="1"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</row>
    <row r="199" spans="27:64" ht="15.75" customHeight="1"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</row>
    <row r="200" spans="27:64" ht="15.75" customHeight="1"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</row>
    <row r="201" spans="27:64" ht="15.75" customHeight="1"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</row>
    <row r="202" spans="27:64" ht="15.75" customHeight="1"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</row>
    <row r="203" spans="27:64" ht="15.75" customHeight="1"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</row>
    <row r="204" spans="27:64" ht="15.75" customHeight="1"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</row>
    <row r="205" spans="27:64" ht="15.75" customHeight="1"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</row>
    <row r="206" spans="27:64" ht="15.75" customHeight="1"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</row>
    <row r="207" spans="27:64" ht="15.75" customHeight="1"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</row>
    <row r="208" spans="27:64" ht="15.75" customHeight="1"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</row>
    <row r="209" spans="27:64" ht="15.75" customHeight="1"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</row>
    <row r="210" spans="27:64" ht="15.75" customHeight="1"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</row>
    <row r="211" spans="27:64" ht="15.75" customHeight="1"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</row>
    <row r="212" spans="27:64" ht="15.75" customHeight="1"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</row>
    <row r="213" spans="27:64" ht="15.75" customHeight="1"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</row>
    <row r="214" spans="27:64" ht="15.75" customHeight="1"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</row>
    <row r="215" spans="27:64" ht="15.75" customHeight="1"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</row>
    <row r="216" spans="27:64" ht="15.75" customHeight="1"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</row>
    <row r="217" spans="27:64" ht="15.75" customHeight="1"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</row>
    <row r="218" spans="27:64" ht="15.75" customHeight="1"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</row>
    <row r="219" spans="27:64" ht="15.75" customHeight="1"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</row>
    <row r="220" spans="27:64" ht="15.75" customHeight="1"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</row>
    <row r="221" spans="27:64" ht="15.75" customHeight="1"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</row>
    <row r="222" spans="27:64" ht="15.75" customHeight="1"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</row>
    <row r="223" spans="27:64" ht="15.75" customHeight="1"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</row>
    <row r="224" spans="27:64" ht="15.75" customHeight="1"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</row>
    <row r="225" spans="27:64" ht="15.75" customHeight="1"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</row>
    <row r="226" spans="27:64" ht="15.75" customHeight="1"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</row>
    <row r="227" spans="27:64" ht="15.75" customHeight="1"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</row>
    <row r="228" spans="27:64" ht="15.75" customHeight="1"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</row>
    <row r="229" spans="27:64" ht="15.75" customHeight="1"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</row>
    <row r="230" spans="27:64" ht="15.75" customHeight="1"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</row>
    <row r="231" spans="27:64" ht="15.75" customHeight="1"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</row>
    <row r="232" spans="27:64" ht="15.75" customHeight="1"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</row>
    <row r="233" spans="27:64" ht="15.75" customHeight="1"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</row>
    <row r="234" spans="27:64" ht="15.75" customHeight="1"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</row>
    <row r="235" spans="27:64" ht="15.75" customHeight="1"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</row>
    <row r="236" spans="27:64" ht="15.75" customHeight="1"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</row>
    <row r="237" spans="27:64" ht="15.75" customHeight="1"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</row>
    <row r="238" spans="27:64" ht="15.75" customHeight="1"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</row>
    <row r="239" spans="27:64" ht="15.75" customHeight="1"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</row>
    <row r="240" spans="27:64" ht="15.75" customHeight="1"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</row>
    <row r="241" spans="27:64" ht="15.75" customHeight="1"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</row>
    <row r="242" spans="27:64" ht="15.75" customHeight="1"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</row>
    <row r="243" spans="27:64" ht="15.75" customHeight="1"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</row>
    <row r="244" spans="27:64" ht="15.75" customHeight="1"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</row>
    <row r="245" spans="27:64" ht="15.75" customHeight="1"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</row>
    <row r="246" spans="27:64" ht="15.75" customHeight="1"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</row>
    <row r="247" spans="27:64" ht="15.75" customHeight="1"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</row>
    <row r="248" spans="27:64" ht="15.75" customHeight="1"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</row>
    <row r="249" spans="27:64" ht="15.75" customHeight="1"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</row>
    <row r="250" spans="27:64" ht="15.75" customHeight="1"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</row>
    <row r="251" spans="27:64" ht="15.75" customHeight="1"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</row>
    <row r="252" spans="27:64" ht="15.75" customHeight="1"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</row>
    <row r="253" spans="27:64" ht="15.75" customHeight="1"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</row>
    <row r="254" spans="27:64" ht="15.75" customHeight="1"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</row>
    <row r="255" spans="27:64" ht="15.75" customHeight="1"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</row>
    <row r="256" spans="27:64" ht="15.75" customHeight="1"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</row>
    <row r="257" spans="27:64" ht="15.75" customHeight="1"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</row>
    <row r="258" spans="27:64" ht="15.75" customHeight="1"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</row>
    <row r="259" spans="27:64" ht="15.75" customHeight="1"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</row>
    <row r="260" spans="27:64" ht="15.75" customHeight="1"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</row>
    <row r="261" spans="27:64" ht="15.75" customHeight="1"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</row>
    <row r="262" spans="27:64" ht="15.75" customHeight="1"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</row>
    <row r="263" spans="27:64" ht="15.75" customHeight="1"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</row>
    <row r="264" spans="27:64" ht="15.75" customHeight="1"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</row>
    <row r="265" spans="27:64" ht="15.75" customHeight="1"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</row>
    <row r="266" spans="27:64" ht="15.75" customHeight="1"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</row>
    <row r="267" spans="27:64" ht="15.75" customHeight="1"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</row>
    <row r="268" spans="27:64" ht="15.75" customHeight="1"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</row>
    <row r="269" spans="27:64" ht="15.75" customHeight="1"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</row>
    <row r="270" spans="27:64" ht="15.75" customHeight="1"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</row>
    <row r="271" spans="27:64" ht="15.75" customHeight="1"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</row>
    <row r="272" spans="27:64" ht="15.75" customHeight="1"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</row>
    <row r="273" spans="27:64" ht="15.75" customHeight="1"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</row>
    <row r="274" spans="27:64" ht="15.75" customHeight="1"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</row>
    <row r="275" spans="27:64" ht="15.75" customHeight="1"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</row>
    <row r="276" spans="27:64" ht="15.75" customHeight="1"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</row>
    <row r="277" spans="27:64" ht="15.75" customHeight="1"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</row>
    <row r="278" spans="27:64" ht="15.75" customHeight="1"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</row>
    <row r="279" spans="27:64" ht="15.75" customHeight="1"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</row>
    <row r="280" spans="27:64" ht="15.75" customHeight="1"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</row>
    <row r="281" spans="27:64" ht="15.75" customHeight="1"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</row>
    <row r="282" spans="27:64" ht="15.75" customHeight="1"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</row>
    <row r="283" spans="27:64" ht="15.75" customHeight="1"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</row>
    <row r="284" spans="27:64" ht="15.75" customHeight="1"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</row>
    <row r="285" spans="27:64" ht="15.75" customHeight="1"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</row>
    <row r="286" spans="27:64" ht="15.75" customHeight="1"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</row>
    <row r="287" spans="27:64" ht="15.75" customHeight="1"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</row>
    <row r="288" spans="27:64" ht="15.75" customHeight="1"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</row>
    <row r="289" spans="27:64" ht="15.75" customHeight="1"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</row>
    <row r="290" spans="27:64" ht="15.75" customHeight="1"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</row>
    <row r="291" spans="27:64" ht="15.75" customHeight="1"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</row>
    <row r="292" spans="27:64" ht="15.75" customHeight="1"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</row>
    <row r="293" spans="27:64" ht="15.75" customHeight="1"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</row>
    <row r="294" spans="27:64" ht="15.75" customHeight="1"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</row>
    <row r="295" spans="27:64" ht="15.75" customHeight="1"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</row>
    <row r="296" spans="27:64" ht="15.75" customHeight="1"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</row>
    <row r="297" spans="27:64" ht="15.75" customHeight="1"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</row>
    <row r="298" spans="27:64" ht="15.75" customHeight="1"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</row>
    <row r="299" spans="27:64" ht="15.75" customHeight="1"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</row>
    <row r="300" spans="27:64" ht="15.75" customHeight="1"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</row>
    <row r="301" spans="27:64" ht="15.75" customHeight="1"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</row>
    <row r="302" spans="27:64" ht="15.75" customHeight="1"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</row>
    <row r="303" spans="27:64" ht="15.75" customHeight="1"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</row>
    <row r="304" spans="27:64" ht="15.75" customHeight="1"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</row>
    <row r="305" spans="27:64" ht="15.75" customHeight="1"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</row>
    <row r="306" spans="27:64" ht="15.75" customHeight="1"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</row>
    <row r="307" spans="27:64" ht="15.75" customHeight="1"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</row>
    <row r="308" spans="27:64" ht="15.75" customHeight="1"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</row>
    <row r="309" spans="27:64" ht="15.75" customHeight="1"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</row>
    <row r="310" spans="27:64" ht="15.75" customHeight="1"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</row>
    <row r="311" spans="27:64" ht="15.75" customHeight="1"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</row>
    <row r="312" spans="27:64" ht="15.75" customHeight="1"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</row>
    <row r="313" spans="27:64" ht="15.75" customHeight="1"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</row>
    <row r="314" spans="27:64" ht="15.75" customHeight="1"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</row>
    <row r="315" spans="27:64" ht="15.75" customHeight="1"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</row>
    <row r="316" spans="27:64" ht="15.75" customHeight="1"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</row>
    <row r="317" spans="27:64" ht="15.75" customHeight="1"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</row>
    <row r="318" spans="27:64" ht="15.75" customHeight="1"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</row>
    <row r="319" spans="27:64" ht="15.75" customHeight="1"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</row>
    <row r="320" spans="27:64" ht="15.75" customHeight="1"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</row>
    <row r="321" spans="27:64" ht="15.75" customHeight="1"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</row>
    <row r="322" spans="27:64" ht="15.75" customHeight="1"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</row>
    <row r="323" spans="27:64" ht="15.75" customHeight="1"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</row>
    <row r="324" spans="27:64" ht="15.75" customHeight="1"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</row>
    <row r="325" spans="27:64" ht="15.75" customHeight="1"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</row>
    <row r="326" spans="27:64" ht="15.75" customHeight="1"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</row>
    <row r="327" spans="27:64" ht="15.75" customHeight="1"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</row>
    <row r="328" spans="27:64" ht="15.75" customHeight="1"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</row>
    <row r="329" spans="27:64" ht="15.75" customHeight="1"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</row>
    <row r="330" spans="27:64" ht="15.75" customHeight="1"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</row>
    <row r="331" spans="27:64" ht="15.75" customHeight="1"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</row>
    <row r="332" spans="27:64" ht="15.75" customHeight="1"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</row>
    <row r="333" spans="27:64" ht="15.75" customHeight="1"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</row>
    <row r="334" spans="27:64" ht="15.75" customHeight="1"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</row>
    <row r="335" spans="27:64" ht="15.75" customHeight="1"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</row>
    <row r="336" spans="27:64" ht="15.75" customHeight="1"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</row>
    <row r="337" spans="27:64" ht="15.75" customHeight="1"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</row>
    <row r="338" spans="27:64" ht="15.75" customHeight="1"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</row>
    <row r="339" spans="27:64" ht="15.75" customHeight="1"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</row>
    <row r="340" spans="27:64" ht="15.75" customHeight="1"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</row>
    <row r="341" spans="27:64" ht="15.75" customHeight="1"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</row>
    <row r="342" spans="27:64" ht="15.75" customHeight="1"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</row>
    <row r="343" spans="27:64" ht="15.75" customHeight="1"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</row>
    <row r="344" spans="27:64" ht="15.75" customHeight="1"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</row>
    <row r="345" spans="27:64" ht="15.75" customHeight="1"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</row>
    <row r="346" spans="27:64" ht="15.75" customHeight="1"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</row>
    <row r="347" spans="27:64" ht="15.75" customHeight="1"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</row>
    <row r="348" spans="27:64" ht="15.75" customHeight="1"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</row>
    <row r="349" spans="27:64" ht="15.75" customHeight="1"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</row>
    <row r="350" spans="27:64" ht="15.75" customHeight="1"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</row>
    <row r="351" spans="27:64" ht="15.75" customHeight="1"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</row>
    <row r="352" spans="27:64" ht="15.75" customHeight="1"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</row>
    <row r="353" spans="27:64" ht="15.75" customHeight="1"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</row>
    <row r="354" spans="27:64" ht="15.75" customHeight="1"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</row>
    <row r="355" spans="27:64" ht="15.75" customHeight="1"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</row>
    <row r="356" spans="27:64" ht="15.75" customHeight="1"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</row>
    <row r="357" spans="27:64" ht="15.75" customHeight="1"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</row>
    <row r="358" spans="27:64" ht="15.75" customHeight="1"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</row>
    <row r="359" spans="27:64" ht="15.75" customHeight="1"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</row>
    <row r="360" spans="27:64" ht="15.75" customHeight="1"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</row>
    <row r="361" spans="27:64" ht="15.75" customHeight="1"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</row>
    <row r="362" spans="27:64" ht="15.75" customHeight="1"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</row>
    <row r="363" spans="27:64" ht="15.75" customHeight="1"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</row>
    <row r="364" spans="27:64" ht="15.75" customHeight="1"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</row>
    <row r="365" spans="27:64" ht="15.75" customHeight="1"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</row>
    <row r="366" spans="27:64" ht="15.75" customHeight="1"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</row>
    <row r="367" spans="27:64" ht="15.75" customHeight="1"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</row>
    <row r="368" spans="27:64" ht="15.75" customHeight="1"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</row>
    <row r="369" spans="27:64" ht="15.75" customHeight="1"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</row>
    <row r="370" spans="27:64" ht="15.75" customHeight="1"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</row>
    <row r="371" spans="27:64" ht="15.75" customHeight="1"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</row>
    <row r="372" spans="27:64" ht="15.75" customHeight="1"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</row>
    <row r="373" spans="27:64" ht="15.75" customHeight="1"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</row>
    <row r="374" spans="27:64" ht="15.75" customHeight="1"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</row>
    <row r="375" spans="27:64" ht="15.75" customHeight="1"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</row>
    <row r="376" spans="27:64" ht="15.75" customHeight="1"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</row>
    <row r="377" spans="27:64" ht="15.75" customHeight="1"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</row>
    <row r="378" spans="27:64" ht="15.75" customHeight="1"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</row>
    <row r="379" spans="27:64" ht="15.75" customHeight="1"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</row>
    <row r="380" spans="27:64" ht="15.75" customHeight="1"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</row>
    <row r="381" spans="27:64" ht="15.75" customHeight="1"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</row>
    <row r="382" spans="27:64" ht="15.75" customHeight="1"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</row>
    <row r="383" spans="27:64" ht="15.75" customHeight="1"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</row>
    <row r="384" spans="27:64" ht="15.75" customHeight="1"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</row>
    <row r="385" spans="27:64" ht="15.75" customHeight="1"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</row>
    <row r="386" spans="27:64" ht="15.75" customHeight="1"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</row>
    <row r="387" spans="27:64" ht="15.75" customHeight="1"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</row>
    <row r="388" spans="27:64" ht="15.75" customHeight="1"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</row>
    <row r="389" spans="27:64" ht="15.75" customHeight="1"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</row>
    <row r="390" spans="27:64" ht="15.75" customHeight="1"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</row>
    <row r="391" spans="27:64" ht="15.75" customHeight="1"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</row>
    <row r="392" spans="27:64" ht="15.75" customHeight="1"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</row>
    <row r="393" spans="27:64" ht="15.75" customHeight="1"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</row>
    <row r="394" spans="27:64" ht="15.75" customHeight="1"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</row>
    <row r="395" spans="27:64" ht="15.75" customHeight="1"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</row>
    <row r="396" spans="27:64" ht="15.75" customHeight="1"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</row>
    <row r="397" spans="27:64" ht="15.75" customHeight="1"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</row>
    <row r="398" spans="27:64" ht="15.75" customHeight="1"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</row>
    <row r="399" spans="27:64" ht="15.75" customHeight="1"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</row>
    <row r="400" spans="27:64" ht="15.75" customHeight="1"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</row>
    <row r="401" spans="27:64" ht="15.75" customHeight="1"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</row>
    <row r="402" spans="27:64" ht="15.75" customHeight="1"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</row>
    <row r="403" spans="27:64" ht="15.75" customHeight="1"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</row>
    <row r="404" spans="27:64" ht="15.75" customHeight="1"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</row>
    <row r="405" spans="27:64" ht="15.75" customHeight="1"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</row>
    <row r="406" spans="27:64" ht="15.75" customHeight="1"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</row>
    <row r="407" spans="27:64" ht="15.75" customHeight="1"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</row>
    <row r="408" spans="27:64" ht="15.75" customHeight="1"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</row>
    <row r="409" spans="27:64" ht="15.75" customHeight="1"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</row>
    <row r="410" spans="27:64" ht="15.75" customHeight="1"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</row>
    <row r="411" spans="27:64" ht="15.75" customHeight="1"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</row>
    <row r="412" spans="27:64" ht="15.75" customHeight="1"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</row>
    <row r="413" spans="27:64" ht="15.75" customHeight="1"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</row>
    <row r="414" spans="27:64" ht="15.75" customHeight="1"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</row>
    <row r="415" spans="27:64" ht="15.75" customHeight="1"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</row>
    <row r="416" spans="27:64" ht="15.75" customHeight="1"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</row>
    <row r="417" spans="27:64" ht="15.75" customHeight="1"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</row>
    <row r="418" spans="27:64" ht="15.75" customHeight="1"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</row>
    <row r="419" spans="27:64" ht="15.75" customHeight="1"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</row>
    <row r="420" spans="27:64" ht="15.75" customHeight="1"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</row>
    <row r="421" spans="27:64" ht="15.75" customHeight="1"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</row>
    <row r="422" spans="27:64" ht="15.75" customHeight="1"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</row>
    <row r="423" spans="27:64" ht="15.75" customHeight="1"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</row>
    <row r="424" spans="27:64" ht="15.75" customHeight="1"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</row>
    <row r="425" spans="27:64" ht="15.75" customHeight="1"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</row>
    <row r="426" spans="27:64" ht="15.75" customHeight="1"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</row>
    <row r="427" spans="27:64" ht="15.75" customHeight="1"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</row>
    <row r="428" spans="27:64" ht="15.75" customHeight="1"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</row>
    <row r="429" spans="27:64" ht="15.75" customHeight="1"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</row>
    <row r="430" spans="27:64" ht="15.75" customHeight="1"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</row>
    <row r="431" spans="27:64" ht="15.75" customHeight="1"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</row>
    <row r="432" spans="27:64" ht="15.75" customHeight="1"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</row>
    <row r="433" spans="27:64" ht="15.75" customHeight="1"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</row>
    <row r="434" spans="27:64" ht="15.75" customHeight="1"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</row>
    <row r="435" spans="27:64" ht="15.75" customHeight="1"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</row>
    <row r="436" spans="27:64" ht="15.75" customHeight="1"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</row>
    <row r="437" spans="27:64" ht="15.75" customHeight="1"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</row>
    <row r="438" spans="27:64" ht="15.75" customHeight="1"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</row>
    <row r="439" spans="27:64" ht="15.75" customHeight="1"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</row>
    <row r="440" spans="27:64" ht="15.75" customHeight="1"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</row>
    <row r="441" spans="27:64" ht="15.75" customHeight="1"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</row>
    <row r="442" spans="27:64" ht="15.75" customHeight="1"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</row>
    <row r="443" spans="27:64" ht="15.75" customHeight="1"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</row>
    <row r="444" spans="27:64" ht="15.75" customHeight="1"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</row>
    <row r="445" spans="27:64" ht="15.75" customHeight="1"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</row>
    <row r="446" spans="27:64" ht="15.75" customHeight="1"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</row>
    <row r="447" spans="27:64" ht="15.75" customHeight="1"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</row>
    <row r="448" spans="27:64" ht="15.75" customHeight="1"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</row>
    <row r="449" spans="27:64" ht="15.75" customHeight="1"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</row>
    <row r="450" spans="27:64" ht="15.75" customHeight="1"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</row>
    <row r="451" spans="27:64" ht="15.75" customHeight="1"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</row>
    <row r="452" spans="27:64" ht="15.75" customHeight="1"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</row>
    <row r="453" spans="27:64" ht="15.75" customHeight="1"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</row>
    <row r="454" spans="27:64" ht="15.75" customHeight="1"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</row>
    <row r="455" spans="27:64" ht="15.75" customHeight="1"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</row>
    <row r="456" spans="27:64" ht="15.75" customHeight="1"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</row>
    <row r="457" spans="27:64" ht="15.75" customHeight="1"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</row>
    <row r="458" spans="27:64" ht="15.75" customHeight="1"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</row>
    <row r="459" spans="27:64" ht="15.75" customHeight="1"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</row>
    <row r="460" spans="27:64" ht="15.75" customHeight="1"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</row>
    <row r="461" spans="27:64" ht="15.75" customHeight="1"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</row>
    <row r="462" spans="27:64" ht="15.75" customHeight="1"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</row>
    <row r="463" spans="27:64" ht="15.75" customHeight="1"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</row>
    <row r="464" spans="27:64" ht="15.75" customHeight="1"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</row>
    <row r="465" spans="27:64" ht="15.75" customHeight="1"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</row>
    <row r="466" spans="27:64" ht="15.75" customHeight="1"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</row>
    <row r="467" spans="27:64" ht="15.75" customHeight="1"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</row>
    <row r="468" spans="27:64" ht="15.75" customHeight="1"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</row>
    <row r="469" spans="27:64" ht="15.75" customHeight="1"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</row>
    <row r="470" spans="27:64" ht="15.75" customHeight="1"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</row>
    <row r="471" spans="27:64" ht="15.75" customHeight="1"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</row>
    <row r="472" spans="27:64" ht="15.75" customHeight="1"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</row>
    <row r="473" spans="27:64" ht="15.75" customHeight="1"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</row>
    <row r="474" spans="27:64" ht="15.75" customHeight="1"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</row>
    <row r="475" spans="27:64" ht="15.75" customHeight="1"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</row>
    <row r="476" spans="27:64" ht="15.75" customHeight="1"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</row>
    <row r="477" spans="27:64" ht="15.75" customHeight="1"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</row>
    <row r="478" spans="27:64" ht="15.75" customHeight="1"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</row>
    <row r="479" spans="27:64" ht="15.75" customHeight="1"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</row>
    <row r="480" spans="27:64" ht="15.75" customHeight="1"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</row>
    <row r="481" spans="27:64" ht="15.75" customHeight="1"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</row>
    <row r="482" spans="27:64" ht="15.75" customHeight="1"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</row>
    <row r="483" spans="27:64" ht="15.75" customHeight="1"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</row>
    <row r="484" spans="27:64" ht="15.75" customHeight="1"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</row>
    <row r="485" spans="27:64" ht="15.75" customHeight="1"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</row>
    <row r="486" spans="27:64" ht="15.75" customHeight="1"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</row>
    <row r="487" spans="27:64" ht="15.75" customHeight="1"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</row>
    <row r="488" spans="27:64" ht="15.75" customHeight="1"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</row>
    <row r="489" spans="27:64" ht="15.75" customHeight="1"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</row>
    <row r="490" spans="27:64" ht="15.75" customHeight="1"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</row>
    <row r="491" spans="27:64" ht="15.75" customHeight="1"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</row>
    <row r="492" spans="27:64" ht="15.75" customHeight="1"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</row>
    <row r="493" spans="27:64" ht="15.75" customHeight="1"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</row>
    <row r="494" spans="27:64" ht="15.75" customHeight="1"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</row>
    <row r="495" spans="27:64" ht="15.75" customHeight="1"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</row>
    <row r="496" spans="27:64" ht="15.75" customHeight="1"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</row>
    <row r="497" spans="27:64" ht="15.75" customHeight="1"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</row>
    <row r="498" spans="27:64" ht="15.75" customHeight="1"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</row>
    <row r="499" spans="27:64" ht="15.75" customHeight="1"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</row>
    <row r="500" spans="27:64" ht="15.75" customHeight="1"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</row>
    <row r="501" spans="27:64" ht="15.75" customHeight="1"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</row>
    <row r="502" spans="27:64" ht="15.75" customHeight="1"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</row>
    <row r="503" spans="27:64" ht="15.75" customHeight="1"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</row>
    <row r="504" spans="27:64" ht="15.75" customHeight="1"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</row>
    <row r="505" spans="27:64" ht="15.75" customHeight="1"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</row>
    <row r="506" spans="27:64" ht="15.75" customHeight="1"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</row>
    <row r="507" spans="27:64" ht="15.75" customHeight="1"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</row>
    <row r="508" spans="27:64" ht="15.75" customHeight="1"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</row>
    <row r="509" spans="27:64" ht="15.75" customHeight="1"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</row>
    <row r="510" spans="27:64" ht="15.75" customHeight="1"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</row>
    <row r="511" spans="27:64" ht="15.75" customHeight="1"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</row>
    <row r="512" spans="27:64" ht="15.75" customHeight="1"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</row>
    <row r="513" spans="27:64" ht="15.75" customHeight="1"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</row>
    <row r="514" spans="27:64" ht="15.75" customHeight="1"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</row>
    <row r="515" spans="27:64" ht="15.75" customHeight="1"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</row>
    <row r="516" spans="27:64" ht="15.75" customHeight="1"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</row>
    <row r="517" spans="27:64" ht="15.75" customHeight="1"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</row>
    <row r="518" spans="27:64" ht="15.75" customHeight="1"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</row>
    <row r="519" spans="27:64" ht="15.75" customHeight="1"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</row>
    <row r="520" spans="27:64" ht="15.75" customHeight="1"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</row>
    <row r="521" spans="27:64" ht="15.75" customHeight="1"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</row>
    <row r="522" spans="27:64" ht="15.75" customHeight="1"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</row>
    <row r="523" spans="27:64" ht="15.75" customHeight="1"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</row>
    <row r="524" spans="27:64" ht="15.75" customHeight="1"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</row>
    <row r="525" spans="27:64" ht="15.75" customHeight="1"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</row>
    <row r="526" spans="27:64" ht="15.75" customHeight="1"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</row>
    <row r="527" spans="27:64" ht="15.75" customHeight="1"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</row>
    <row r="528" spans="27:64" ht="15.75" customHeight="1"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</row>
    <row r="529" spans="27:64" ht="15.75" customHeight="1"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</row>
    <row r="530" spans="27:64" ht="15.75" customHeight="1"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</row>
    <row r="531" spans="27:64" ht="15.75" customHeight="1"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</row>
    <row r="532" spans="27:64" ht="15.75" customHeight="1"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</row>
    <row r="533" spans="27:64" ht="15.75" customHeight="1"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</row>
    <row r="534" spans="27:64" ht="15.75" customHeight="1"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</row>
    <row r="535" spans="27:64" ht="15.75" customHeight="1"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</row>
    <row r="536" spans="27:64" ht="15.75" customHeight="1"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</row>
    <row r="537" spans="27:64" ht="15.75" customHeight="1"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</row>
    <row r="538" spans="27:64" ht="15.75" customHeight="1"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</row>
    <row r="539" spans="27:64" ht="15.75" customHeight="1"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</row>
    <row r="540" spans="27:64" ht="15.75" customHeight="1"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</row>
    <row r="541" spans="27:64" ht="15.75" customHeight="1"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</row>
    <row r="542" spans="27:64" ht="15.75" customHeight="1"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</row>
    <row r="543" spans="27:64" ht="15.75" customHeight="1"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</row>
    <row r="544" spans="27:64" ht="15.75" customHeight="1"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</row>
    <row r="545" spans="27:64" ht="15.75" customHeight="1"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</row>
    <row r="546" spans="27:64" ht="15.75" customHeight="1"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</row>
    <row r="547" spans="27:64" ht="15.75" customHeight="1"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</row>
    <row r="548" spans="27:64" ht="15.75" customHeight="1"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</row>
    <row r="549" spans="27:64" ht="15.75" customHeight="1"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</row>
    <row r="550" spans="27:64" ht="15.75" customHeight="1"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</row>
    <row r="551" spans="27:64" ht="15.75" customHeight="1"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</row>
    <row r="552" spans="27:64" ht="15.75" customHeight="1"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</row>
    <row r="553" spans="27:64" ht="15.75" customHeight="1"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</row>
    <row r="554" spans="27:64" ht="15.75" customHeight="1"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</row>
    <row r="555" spans="27:64" ht="15.75" customHeight="1"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</row>
    <row r="556" spans="27:64" ht="15.75" customHeight="1"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</row>
    <row r="557" spans="27:64" ht="15.75" customHeight="1"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</row>
    <row r="558" spans="27:64" ht="15.75" customHeight="1"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</row>
    <row r="559" spans="27:64" ht="15.75" customHeight="1"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</row>
    <row r="560" spans="27:64" ht="15.75" customHeight="1"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</row>
    <row r="561" spans="27:64" ht="15.75" customHeight="1"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</row>
    <row r="562" spans="27:64" ht="15.75" customHeight="1"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</row>
    <row r="563" spans="27:64" ht="15.75" customHeight="1"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</row>
    <row r="564" spans="27:64" ht="15.75" customHeight="1"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</row>
    <row r="565" spans="27:64" ht="15.75" customHeight="1"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</row>
    <row r="566" spans="27:64" ht="15.75" customHeight="1"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</row>
    <row r="567" spans="27:64" ht="15.75" customHeight="1"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</row>
    <row r="568" spans="27:64" ht="15.75" customHeight="1"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</row>
    <row r="569" spans="27:64" ht="15.75" customHeight="1"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</row>
    <row r="570" spans="27:64" ht="15.75" customHeight="1"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</row>
    <row r="571" spans="27:64" ht="15.75" customHeight="1"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</row>
    <row r="572" spans="27:64" ht="15.75" customHeight="1"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</row>
    <row r="573" spans="27:64" ht="15.75" customHeight="1"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</row>
    <row r="574" spans="27:64" ht="15.75" customHeight="1"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</row>
    <row r="575" spans="27:64" ht="15.75" customHeight="1"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</row>
    <row r="576" spans="27:64" ht="15.75" customHeight="1"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</row>
    <row r="577" spans="27:64" ht="15.75" customHeight="1"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</row>
    <row r="578" spans="27:64" ht="15.75" customHeight="1"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</row>
    <row r="579" spans="27:64" ht="15.75" customHeight="1"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</row>
    <row r="580" spans="27:64" ht="15.75" customHeight="1"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</row>
    <row r="581" spans="27:64" ht="15.75" customHeight="1"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</row>
    <row r="582" spans="27:64" ht="15.75" customHeight="1"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</row>
    <row r="583" spans="27:64" ht="15.75" customHeight="1"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</row>
    <row r="584" spans="27:64" ht="15.75" customHeight="1"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</row>
    <row r="585" spans="27:64" ht="15.75" customHeight="1"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</row>
    <row r="586" spans="27:64" ht="15.75" customHeight="1"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</row>
    <row r="587" spans="27:64" ht="15.75" customHeight="1"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</row>
    <row r="588" spans="27:64" ht="15.75" customHeight="1"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</row>
    <row r="589" spans="27:64" ht="15.75" customHeight="1"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</row>
    <row r="590" spans="27:64" ht="15.75" customHeight="1"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</row>
    <row r="591" spans="27:64" ht="15.75" customHeight="1"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</row>
    <row r="592" spans="27:64" ht="15.75" customHeight="1"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</row>
    <row r="593" spans="27:64" ht="15.75" customHeight="1"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</row>
    <row r="594" spans="27:64" ht="15.75" customHeight="1"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</row>
    <row r="595" spans="27:64" ht="15.75" customHeight="1"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</row>
    <row r="596" spans="27:64" ht="15.75" customHeight="1"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</row>
    <row r="597" spans="27:64" ht="15.75" customHeight="1"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</row>
    <row r="598" spans="27:64" ht="15.75" customHeight="1"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</row>
    <row r="599" spans="27:64" ht="15.75" customHeight="1"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</row>
    <row r="600" spans="27:64" ht="15.75" customHeight="1"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</row>
    <row r="601" spans="27:64" ht="15.75" customHeight="1"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</row>
    <row r="602" spans="27:64" ht="15.75" customHeight="1"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</row>
    <row r="603" spans="27:64" ht="15.75" customHeight="1"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</row>
    <row r="604" spans="27:64" ht="15.75" customHeight="1"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</row>
    <row r="605" spans="27:64" ht="15.75" customHeight="1"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</row>
    <row r="606" spans="27:64" ht="15.75" customHeight="1"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</row>
    <row r="607" spans="27:64" ht="15.75" customHeight="1"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</row>
    <row r="608" spans="27:64" ht="15.75" customHeight="1"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</row>
    <row r="609" spans="27:64" ht="15.75" customHeight="1"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</row>
    <row r="610" spans="27:64" ht="15.75" customHeight="1"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</row>
    <row r="611" spans="27:64" ht="15.75" customHeight="1"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</row>
    <row r="612" spans="27:64" ht="15.75" customHeight="1"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</row>
    <row r="613" spans="27:64" ht="15.75" customHeight="1"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</row>
    <row r="614" spans="27:64" ht="15.75" customHeight="1"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</row>
    <row r="615" spans="27:64" ht="15.75" customHeight="1"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</row>
    <row r="616" spans="27:64" ht="15.75" customHeight="1"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</row>
    <row r="617" spans="27:64" ht="15.75" customHeight="1"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</row>
    <row r="618" spans="27:64" ht="15.75" customHeight="1"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</row>
    <row r="619" spans="27:64" ht="15.75" customHeight="1"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</row>
    <row r="620" spans="27:64" ht="15.75" customHeight="1"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</row>
    <row r="621" spans="27:64" ht="15.75" customHeight="1"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</row>
    <row r="622" spans="27:64" ht="15.75" customHeight="1"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</row>
    <row r="623" spans="27:64" ht="15.75" customHeight="1"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</row>
    <row r="624" spans="27:64" ht="15.75" customHeight="1"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</row>
    <row r="625" spans="27:64" ht="15.75" customHeight="1"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</row>
    <row r="626" spans="27:64" ht="15.75" customHeight="1"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</row>
    <row r="627" spans="27:64" ht="15.75" customHeight="1"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</row>
    <row r="628" spans="27:64" ht="15.75" customHeight="1"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</row>
    <row r="629" spans="27:64" ht="15.75" customHeight="1"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</row>
    <row r="630" spans="27:64" ht="15.75" customHeight="1"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</row>
    <row r="631" spans="27:64" ht="15.75" customHeight="1"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</row>
    <row r="632" spans="27:64" ht="15.75" customHeight="1"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</row>
    <row r="633" spans="27:64" ht="15.75" customHeight="1"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</row>
    <row r="634" spans="27:64" ht="15.75" customHeight="1"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</row>
    <row r="635" spans="27:64" ht="15.75" customHeight="1"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</row>
    <row r="636" spans="27:64" ht="15.75" customHeight="1"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</row>
    <row r="637" spans="27:64" ht="15.75" customHeight="1"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</row>
    <row r="638" spans="27:64" ht="15.75" customHeight="1"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</row>
    <row r="639" spans="27:64" ht="15.75" customHeight="1"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</row>
    <row r="640" spans="27:64" ht="15.75" customHeight="1"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</row>
    <row r="641" spans="27:64" ht="15.75" customHeight="1"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</row>
    <row r="642" spans="27:64" ht="15.75" customHeight="1"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</row>
    <row r="643" spans="27:64" ht="15.75" customHeight="1"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</row>
    <row r="644" spans="27:64" ht="15.75" customHeight="1"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</row>
    <row r="645" spans="27:64" ht="15.75" customHeight="1"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</row>
    <row r="646" spans="27:64" ht="15.75" customHeight="1"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</row>
    <row r="647" spans="27:64" ht="15.75" customHeight="1"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</row>
    <row r="648" spans="27:64" ht="15.75" customHeight="1"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</row>
    <row r="649" spans="27:64" ht="15.75" customHeight="1"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</row>
    <row r="650" spans="27:64" ht="15.75" customHeight="1"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</row>
    <row r="651" spans="27:64" ht="15.75" customHeight="1"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</row>
    <row r="652" spans="27:64" ht="15.75" customHeight="1"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</row>
    <row r="653" spans="27:64" ht="15.75" customHeight="1"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</row>
    <row r="654" spans="27:64" ht="15.75" customHeight="1"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</row>
    <row r="655" spans="27:64" ht="15.75" customHeight="1"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</row>
    <row r="656" spans="27:64" ht="15.75" customHeight="1"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</row>
    <row r="657" spans="27:64" ht="15.75" customHeight="1"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</row>
    <row r="658" spans="27:64" ht="15.75" customHeight="1"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</row>
    <row r="659" spans="27:64" ht="15.75" customHeight="1"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</row>
    <row r="660" spans="27:64" ht="15.75" customHeight="1"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</row>
    <row r="661" spans="27:64" ht="15.75" customHeight="1"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</row>
    <row r="662" spans="27:64" ht="15.75" customHeight="1"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</row>
    <row r="663" spans="27:64" ht="15.75" customHeight="1"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</row>
    <row r="664" spans="27:64" ht="15.75" customHeight="1"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</row>
    <row r="665" spans="27:64" ht="15.75" customHeight="1"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</row>
    <row r="666" spans="27:64" ht="15.75" customHeight="1"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</row>
    <row r="667" spans="27:64" ht="15.75" customHeight="1"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</row>
    <row r="668" spans="27:64" ht="15.75" customHeight="1"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</row>
    <row r="669" spans="27:64" ht="15.75" customHeight="1"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</row>
    <row r="670" spans="27:64" ht="15.75" customHeight="1"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</row>
    <row r="671" spans="27:64" ht="15.75" customHeight="1"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</row>
    <row r="672" spans="27:64" ht="15.75" customHeight="1"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</row>
    <row r="673" spans="27:64" ht="15.75" customHeight="1"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</row>
    <row r="674" spans="27:64" ht="15.75" customHeight="1"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</row>
    <row r="675" spans="27:64" ht="15.75" customHeight="1"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</row>
    <row r="676" spans="27:64" ht="15.75" customHeight="1"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</row>
    <row r="677" spans="27:64" ht="15.75" customHeight="1"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</row>
    <row r="678" spans="27:64" ht="15.75" customHeight="1"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</row>
    <row r="679" spans="27:64" ht="15.75" customHeight="1"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</row>
    <row r="680" spans="27:64" ht="15.75" customHeight="1"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</row>
    <row r="681" spans="27:64" ht="15.75" customHeight="1"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</row>
    <row r="682" spans="27:64" ht="15.75" customHeight="1"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</row>
    <row r="683" spans="27:64" ht="15.75" customHeight="1"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</row>
    <row r="684" spans="27:64" ht="15.75" customHeight="1"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</row>
    <row r="685" spans="27:64" ht="15.75" customHeight="1"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</row>
    <row r="686" spans="27:64" ht="15.75" customHeight="1"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</row>
    <row r="687" spans="27:64" ht="15.75" customHeight="1"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</row>
    <row r="688" spans="27:64" ht="15.75" customHeight="1"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</row>
    <row r="689" spans="27:64" ht="15.75" customHeight="1"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</row>
    <row r="690" spans="27:64" ht="15.75" customHeight="1"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</row>
    <row r="691" spans="27:64" ht="15.75" customHeight="1"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</row>
    <row r="692" spans="27:64" ht="15.75" customHeight="1"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</row>
    <row r="693" spans="27:64" ht="15.75" customHeight="1"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</row>
    <row r="694" spans="27:64" ht="15.75" customHeight="1"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</row>
    <row r="695" spans="27:64" ht="15.75" customHeight="1"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</row>
    <row r="696" spans="27:64" ht="15.75" customHeight="1"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</row>
    <row r="697" spans="27:64" ht="15.75" customHeight="1"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</row>
    <row r="698" spans="27:64" ht="15.75" customHeight="1"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</row>
    <row r="699" spans="27:64" ht="15.75" customHeight="1"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</row>
    <row r="700" spans="27:64" ht="15.75" customHeight="1"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</row>
    <row r="701" spans="27:64" ht="15.75" customHeight="1"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</row>
    <row r="702" spans="27:64" ht="15.75" customHeight="1"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</row>
    <row r="703" spans="27:64" ht="15.75" customHeight="1"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</row>
    <row r="704" spans="27:64" ht="15.75" customHeight="1"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</row>
    <row r="705" spans="27:64" ht="15.75" customHeight="1"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</row>
    <row r="706" spans="27:64" ht="15.75" customHeight="1"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</row>
    <row r="707" spans="27:64" ht="15.75" customHeight="1"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</row>
    <row r="708" spans="27:64" ht="15.75" customHeight="1"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</row>
    <row r="709" spans="27:64" ht="15.75" customHeight="1"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</row>
    <row r="710" spans="27:64" ht="15.75" customHeight="1"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</row>
    <row r="711" spans="27:64" ht="15.75" customHeight="1"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</row>
    <row r="712" spans="27:64" ht="15.75" customHeight="1"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</row>
    <row r="713" spans="27:64" ht="15.75" customHeight="1"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</row>
    <row r="714" spans="27:64" ht="15.75" customHeight="1"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</row>
    <row r="715" spans="27:64" ht="15.75" customHeight="1"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</row>
    <row r="716" spans="27:64" ht="15.75" customHeight="1"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</row>
    <row r="717" spans="27:64" ht="15.75" customHeight="1"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</row>
    <row r="718" spans="27:64" ht="15.75" customHeight="1"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</row>
    <row r="719" spans="27:64" ht="15.75" customHeight="1"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</row>
    <row r="720" spans="27:64" ht="15.75" customHeight="1"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</row>
    <row r="721" spans="27:64" ht="15.75" customHeight="1"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</row>
    <row r="722" spans="27:64" ht="15.75" customHeight="1"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</row>
    <row r="723" spans="27:64" ht="15.75" customHeight="1"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</row>
    <row r="724" spans="27:64" ht="15.75" customHeight="1"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</row>
    <row r="725" spans="27:64" ht="15.75" customHeight="1"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</row>
    <row r="726" spans="27:64" ht="15.75" customHeight="1"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</row>
    <row r="727" spans="27:64" ht="15.75" customHeight="1"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</row>
    <row r="728" spans="27:64" ht="15.75" customHeight="1"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</row>
    <row r="729" spans="27:64" ht="15.75" customHeight="1"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</row>
    <row r="730" spans="27:64" ht="15.75" customHeight="1"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</row>
    <row r="731" spans="27:64" ht="15.75" customHeight="1"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</row>
    <row r="732" spans="27:64" ht="15.75" customHeight="1"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</row>
    <row r="733" spans="27:64" ht="15.75" customHeight="1"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</row>
    <row r="734" spans="27:64" ht="15.75" customHeight="1"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</row>
    <row r="735" spans="27:64" ht="15.75" customHeight="1"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</row>
    <row r="736" spans="27:64" ht="15.75" customHeight="1"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</row>
    <row r="737" spans="27:64" ht="15.75" customHeight="1"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</row>
    <row r="738" spans="27:64" ht="15.75" customHeight="1"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</row>
    <row r="739" spans="27:64" ht="15.75" customHeight="1"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</row>
    <row r="740" spans="27:64" ht="15.75" customHeight="1"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</row>
    <row r="741" spans="27:64" ht="15.75" customHeight="1"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</row>
    <row r="742" spans="27:64" ht="15.75" customHeight="1"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</row>
    <row r="743" spans="27:64" ht="15.75" customHeight="1"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</row>
    <row r="744" spans="27:64" ht="15.75" customHeight="1"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</row>
    <row r="745" spans="27:64" ht="15.75" customHeight="1"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</row>
    <row r="746" spans="27:64" ht="15.75" customHeight="1"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</row>
    <row r="747" spans="27:64" ht="15.75" customHeight="1"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</row>
    <row r="748" spans="27:64" ht="15.75" customHeight="1"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</row>
    <row r="749" spans="27:64" ht="15.75" customHeight="1"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</row>
    <row r="750" spans="27:64" ht="15.75" customHeight="1"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</row>
    <row r="751" spans="27:64" ht="15.75" customHeight="1"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</row>
    <row r="752" spans="27:64" ht="15.75" customHeight="1"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</row>
    <row r="753" spans="27:64" ht="15.75" customHeight="1"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</row>
    <row r="754" spans="27:64" ht="15.75" customHeight="1"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</row>
    <row r="755" spans="27:64" ht="15.75" customHeight="1"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</row>
    <row r="756" spans="27:64" ht="15.75" customHeight="1"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</row>
    <row r="757" spans="27:64" ht="15.75" customHeight="1"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</row>
    <row r="758" spans="27:64" ht="15.75" customHeight="1"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</row>
    <row r="759" spans="27:64" ht="15.75" customHeight="1"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</row>
    <row r="760" spans="27:64" ht="15.75" customHeight="1"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</row>
    <row r="761" spans="27:64" ht="15.75" customHeight="1"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</row>
    <row r="762" spans="27:64" ht="15.75" customHeight="1"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</row>
    <row r="763" spans="27:64" ht="15.75" customHeight="1"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</row>
    <row r="764" spans="27:64" ht="15.75" customHeight="1"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</row>
    <row r="765" spans="27:64" ht="15.75" customHeight="1"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</row>
    <row r="766" spans="27:64" ht="15.75" customHeight="1"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</row>
    <row r="767" spans="27:64" ht="15.75" customHeight="1"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</row>
    <row r="768" spans="27:64" ht="15.75" customHeight="1"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</row>
    <row r="769" spans="27:64" ht="15.75" customHeight="1"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</row>
    <row r="770" spans="27:64" ht="15.75" customHeight="1"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</row>
    <row r="771" spans="27:64" ht="15.75" customHeight="1"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</row>
    <row r="772" spans="27:64" ht="15.75" customHeight="1"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</row>
    <row r="773" spans="27:64" ht="15.75" customHeight="1"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</row>
    <row r="774" spans="27:64" ht="15.75" customHeight="1"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</row>
    <row r="775" spans="27:64" ht="15.75" customHeight="1"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</row>
    <row r="776" spans="27:64" ht="15.75" customHeight="1"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</row>
    <row r="777" spans="27:64" ht="15.75" customHeight="1"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</row>
    <row r="778" spans="27:64" ht="15.75" customHeight="1"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</row>
    <row r="779" spans="27:64" ht="15.75" customHeight="1"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</row>
    <row r="780" spans="27:64" ht="15.75" customHeight="1"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</row>
    <row r="781" spans="27:64" ht="15.75" customHeight="1"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</row>
    <row r="782" spans="27:64" ht="15.75" customHeight="1"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</row>
    <row r="783" spans="27:64" ht="15.75" customHeight="1"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</row>
    <row r="784" spans="27:64" ht="15.75" customHeight="1"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</row>
    <row r="785" spans="27:64" ht="15.75" customHeight="1"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</row>
    <row r="786" spans="27:64" ht="15.75" customHeight="1"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</row>
    <row r="787" spans="27:64" ht="15.75" customHeight="1"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</row>
    <row r="788" spans="27:64" ht="15.75" customHeight="1"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</row>
    <row r="789" spans="27:64" ht="15.75" customHeight="1"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</row>
    <row r="790" spans="27:64" ht="15.75" customHeight="1"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</row>
    <row r="791" spans="27:64" ht="15.75" customHeight="1"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</row>
    <row r="792" spans="27:64" ht="15.75" customHeight="1"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</row>
    <row r="793" spans="27:64" ht="15.75" customHeight="1"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</row>
    <row r="794" spans="27:64" ht="15.75" customHeight="1"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</row>
    <row r="795" spans="27:64" ht="15.75" customHeight="1"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</row>
    <row r="796" spans="27:64" ht="15.75" customHeight="1"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</row>
    <row r="797" spans="27:64" ht="15.75" customHeight="1"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</row>
    <row r="798" spans="27:64" ht="15.75" customHeight="1"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</row>
    <row r="799" spans="27:64" ht="15.75" customHeight="1"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</row>
    <row r="800" spans="27:64" ht="15.75" customHeight="1"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</row>
    <row r="801" spans="27:64" ht="15.75" customHeight="1"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</row>
    <row r="802" spans="27:64" ht="15.75" customHeight="1"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</row>
    <row r="803" spans="27:64" ht="15.75" customHeight="1"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</row>
    <row r="804" spans="27:64" ht="15.75" customHeight="1"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</row>
    <row r="805" spans="27:64" ht="15.75" customHeight="1"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</row>
    <row r="806" spans="27:64" ht="15.75" customHeight="1"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</row>
    <row r="807" spans="27:64" ht="15.75" customHeight="1"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</row>
    <row r="808" spans="27:64" ht="15.75" customHeight="1"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</row>
    <row r="809" spans="27:64" ht="15.75" customHeight="1"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</row>
    <row r="810" spans="27:64" ht="15.75" customHeight="1"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</row>
    <row r="811" spans="27:64" ht="15.75" customHeight="1"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</row>
    <row r="812" spans="27:64" ht="15.75" customHeight="1"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</row>
    <row r="813" spans="27:64" ht="15.75" customHeight="1"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</row>
    <row r="814" spans="27:64" ht="15.75" customHeight="1"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</row>
    <row r="815" spans="27:64" ht="15.75" customHeight="1"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</row>
    <row r="816" spans="27:64" ht="15.75" customHeight="1"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</row>
    <row r="817" spans="27:64" ht="15.75" customHeight="1"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</row>
    <row r="818" spans="27:64" ht="15.75" customHeight="1"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</row>
    <row r="819" spans="27:64" ht="15.75" customHeight="1"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</row>
    <row r="820" spans="27:64" ht="15.75" customHeight="1"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</row>
    <row r="821" spans="27:64" ht="15.75" customHeight="1"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</row>
    <row r="822" spans="27:64" ht="15.75" customHeight="1"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</row>
    <row r="823" spans="27:64" ht="15.75" customHeight="1"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</row>
    <row r="824" spans="27:64" ht="15.75" customHeight="1"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</row>
    <row r="825" spans="27:64" ht="15.75" customHeight="1"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</row>
    <row r="826" spans="27:64" ht="15.75" customHeight="1"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</row>
    <row r="827" spans="27:64" ht="15.75" customHeight="1"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</row>
    <row r="828" spans="27:64" ht="15.75" customHeight="1"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</row>
    <row r="829" spans="27:64" ht="15.75" customHeight="1"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</row>
    <row r="830" spans="27:64" ht="15.75" customHeight="1"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</row>
    <row r="831" spans="27:64" ht="15.75" customHeight="1"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</row>
    <row r="832" spans="27:64" ht="15.75" customHeight="1"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</row>
    <row r="833" spans="27:64" ht="15.75" customHeight="1"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</row>
    <row r="834" spans="27:64" ht="15.75" customHeight="1"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</row>
    <row r="835" spans="27:64" ht="15.75" customHeight="1"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</row>
    <row r="836" spans="27:64" ht="15.75" customHeight="1"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</row>
    <row r="837" spans="27:64" ht="15.75" customHeight="1"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</row>
    <row r="838" spans="27:64" ht="15.75" customHeight="1"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</row>
    <row r="839" spans="27:64" ht="15.75" customHeight="1"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</row>
    <row r="840" spans="27:64" ht="15.75" customHeight="1"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</row>
    <row r="841" spans="27:64" ht="15.75" customHeight="1"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</row>
    <row r="842" spans="27:64" ht="15.75" customHeight="1"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</row>
    <row r="843" spans="27:64" ht="15.75" customHeight="1"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</row>
    <row r="844" spans="27:64" ht="15.75" customHeight="1"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</row>
    <row r="845" spans="27:64" ht="15.75" customHeight="1"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</row>
    <row r="846" spans="27:64" ht="15.75" customHeight="1"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</row>
    <row r="847" spans="27:64" ht="15.75" customHeight="1"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</row>
    <row r="848" spans="27:64" ht="15.75" customHeight="1"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</row>
    <row r="849" spans="27:64" ht="15.75" customHeight="1"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</row>
    <row r="850" spans="27:64" ht="15.75" customHeight="1"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</row>
    <row r="851" spans="27:64" ht="15.75" customHeight="1"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</row>
    <row r="852" spans="27:64" ht="15.75" customHeight="1"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</row>
    <row r="853" spans="27:64" ht="15.75" customHeight="1"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</row>
    <row r="854" spans="27:64" ht="15.75" customHeight="1"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</row>
    <row r="855" spans="27:64" ht="15.75" customHeight="1"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</row>
    <row r="856" spans="27:64" ht="15.75" customHeight="1"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</row>
    <row r="857" spans="27:64" ht="15.75" customHeight="1"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</row>
    <row r="858" spans="27:64" ht="15.75" customHeight="1"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</row>
    <row r="859" spans="27:64" ht="15.75" customHeight="1"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</row>
    <row r="860" spans="27:64" ht="15.75" customHeight="1"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</row>
    <row r="861" spans="27:64" ht="15.75" customHeight="1"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</row>
    <row r="862" spans="27:64" ht="15.75" customHeight="1"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</row>
    <row r="863" spans="27:64" ht="15.75" customHeight="1"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</row>
    <row r="864" spans="27:64" ht="15.75" customHeight="1"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</row>
    <row r="865" spans="27:64" ht="15.75" customHeight="1"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</row>
    <row r="866" spans="27:64" ht="15.75" customHeight="1"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</row>
    <row r="867" spans="27:64" ht="15.75" customHeight="1"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</row>
    <row r="868" spans="27:64" ht="15.75" customHeight="1"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</row>
    <row r="869" spans="27:64" ht="15.75" customHeight="1"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</row>
    <row r="870" spans="27:64" ht="15.75" customHeight="1"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</row>
    <row r="871" spans="27:64" ht="15.75" customHeight="1"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</row>
    <row r="872" spans="27:64" ht="15.75" customHeight="1"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</row>
    <row r="873" spans="27:64" ht="15.75" customHeight="1"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</row>
    <row r="874" spans="27:64" ht="15.75" customHeight="1"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</row>
    <row r="875" spans="27:64" ht="15.75" customHeight="1"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</row>
    <row r="876" spans="27:64" ht="15.75" customHeight="1"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</row>
    <row r="877" spans="27:64" ht="15.75" customHeight="1"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</row>
    <row r="878" spans="27:64" ht="15.75" customHeight="1"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</row>
    <row r="879" spans="27:64" ht="15.75" customHeight="1"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</row>
    <row r="880" spans="27:64" ht="15.75" customHeight="1"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</row>
    <row r="881" spans="27:64" ht="15.75" customHeight="1"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</row>
    <row r="882" spans="27:64" ht="15.75" customHeight="1"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</row>
    <row r="883" spans="27:64" ht="15.75" customHeight="1"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</row>
    <row r="884" spans="27:64" ht="15.75" customHeight="1"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</row>
    <row r="885" spans="27:64" ht="15.75" customHeight="1"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</row>
    <row r="886" spans="27:64" ht="15.75" customHeight="1"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</row>
    <row r="887" spans="27:64" ht="15.75" customHeight="1"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</row>
    <row r="888" spans="27:64" ht="15.75" customHeight="1"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</row>
    <row r="889" spans="27:64" ht="15.75" customHeight="1"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</row>
    <row r="890" spans="27:64" ht="15.75" customHeight="1"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</row>
    <row r="891" spans="27:64" ht="15.75" customHeight="1"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</row>
    <row r="892" spans="27:64" ht="15.75" customHeight="1"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</row>
    <row r="893" spans="27:64" ht="15.75" customHeight="1"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</row>
    <row r="894" spans="27:64" ht="15.75" customHeight="1"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</row>
    <row r="895" spans="27:64" ht="15.75" customHeight="1"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</row>
    <row r="896" spans="27:64" ht="15.75" customHeight="1"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</row>
    <row r="897" spans="27:64" ht="15.75" customHeight="1"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</row>
    <row r="898" spans="27:64" ht="15.75" customHeight="1"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</row>
    <row r="899" spans="27:64" ht="15.75" customHeight="1"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</row>
    <row r="900" spans="27:64" ht="15.75" customHeight="1"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</row>
    <row r="901" spans="27:64" ht="15.75" customHeight="1"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</row>
    <row r="902" spans="27:64" ht="15.75" customHeight="1"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</row>
    <row r="903" spans="27:64" ht="15.75" customHeight="1"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</row>
    <row r="904" spans="27:64" ht="15.75" customHeight="1"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</row>
    <row r="905" spans="27:64" ht="15.75" customHeight="1"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</row>
    <row r="906" spans="27:64" ht="15.75" customHeight="1"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</row>
    <row r="907" spans="27:64" ht="15.75" customHeight="1"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</row>
    <row r="908" spans="27:64" ht="15.75" customHeight="1"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</row>
    <row r="909" spans="27:64" ht="15.75" customHeight="1"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</row>
    <row r="910" spans="27:64" ht="15.75" customHeight="1"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</row>
    <row r="911" spans="27:64" ht="15.75" customHeight="1"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</row>
    <row r="912" spans="27:64" ht="15.75" customHeight="1"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</row>
    <row r="913" spans="27:64" ht="15.75" customHeight="1"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</row>
    <row r="914" spans="27:64" ht="15.75" customHeight="1"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</row>
    <row r="915" spans="27:64" ht="15.75" customHeight="1"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</row>
    <row r="916" spans="27:64" ht="15.75" customHeight="1"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</row>
    <row r="917" spans="27:64" ht="15.75" customHeight="1"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</row>
    <row r="918" spans="27:64" ht="15.75" customHeight="1"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</row>
    <row r="919" spans="27:64" ht="15.75" customHeight="1"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</row>
    <row r="920" spans="27:64" ht="15.75" customHeight="1"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</row>
    <row r="921" spans="27:64" ht="15.75" customHeight="1"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</row>
    <row r="922" spans="27:64" ht="15.75" customHeight="1"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</row>
    <row r="923" spans="27:64" ht="15.75" customHeight="1"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</row>
    <row r="924" spans="27:64" ht="15.75" customHeight="1"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</row>
    <row r="925" spans="27:64" ht="15.75" customHeight="1"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</row>
    <row r="926" spans="27:64" ht="15.75" customHeight="1"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</row>
    <row r="927" spans="27:64" ht="15.75" customHeight="1"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</row>
    <row r="928" spans="27:64" ht="15.75" customHeight="1"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</row>
    <row r="929" spans="27:64" ht="15.75" customHeight="1"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</row>
    <row r="930" spans="27:64" ht="15.75" customHeight="1"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</row>
    <row r="931" spans="27:64" ht="15.75" customHeight="1"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</row>
    <row r="932" spans="27:64" ht="15.75" customHeight="1"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</row>
    <row r="933" spans="27:64" ht="15.75" customHeight="1"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</row>
    <row r="934" spans="27:64" ht="15.75" customHeight="1"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</row>
    <row r="935" spans="27:64" ht="15.75" customHeight="1"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</row>
    <row r="936" spans="27:64" ht="15.75" customHeight="1"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</row>
    <row r="937" spans="27:64" ht="15.75" customHeight="1"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</row>
    <row r="938" spans="27:64" ht="15.75" customHeight="1"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</row>
    <row r="939" spans="27:64" ht="15.75" customHeight="1"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</row>
    <row r="940" spans="27:64" ht="15.75" customHeight="1"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</row>
    <row r="941" spans="27:64" ht="15.75" customHeight="1"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</row>
    <row r="942" spans="27:64" ht="15.75" customHeight="1"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</row>
    <row r="943" spans="27:64" ht="15.75" customHeight="1"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</row>
    <row r="944" spans="27:64" ht="15.75" customHeight="1"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</row>
    <row r="945" spans="27:64" ht="15.75" customHeight="1"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</row>
    <row r="946" spans="27:64" ht="15.75" customHeight="1"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</row>
    <row r="947" spans="27:64" ht="15.75" customHeight="1"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</row>
    <row r="948" spans="27:64" ht="15.75" customHeight="1"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</row>
    <row r="949" spans="27:64" ht="15.75" customHeight="1"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</row>
    <row r="950" spans="27:64" ht="15.75" customHeight="1"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</row>
    <row r="951" spans="27:64" ht="15.75" customHeight="1"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</row>
    <row r="952" spans="27:64" ht="15.75" customHeight="1"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</row>
    <row r="953" spans="27:64" ht="15.75" customHeight="1"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</row>
    <row r="954" spans="27:64" ht="15.75" customHeight="1"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</row>
    <row r="955" spans="27:64" ht="15.75" customHeight="1"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</row>
    <row r="956" spans="27:64" ht="15.75" customHeight="1"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</row>
    <row r="957" spans="27:64" ht="15.75" customHeight="1"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</row>
    <row r="958" spans="27:64" ht="15.75" customHeight="1"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</row>
    <row r="959" spans="27:64" ht="15.75" customHeight="1"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</row>
    <row r="960" spans="27:64" ht="15.75" customHeight="1"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</row>
    <row r="961" spans="27:64" ht="15.75" customHeight="1"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</row>
    <row r="962" spans="27:64" ht="15.75" customHeight="1"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</row>
    <row r="963" spans="27:64" ht="15.75" customHeight="1"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</row>
    <row r="964" spans="27:64" ht="15.75" customHeight="1"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</row>
    <row r="965" spans="27:64" ht="15.75" customHeight="1"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</row>
    <row r="966" spans="27:64" ht="15.75" customHeight="1"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</row>
    <row r="967" spans="27:64" ht="15.75" customHeight="1"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</row>
    <row r="968" spans="27:64" ht="15.75" customHeight="1"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</row>
    <row r="969" spans="27:64" ht="15.75" customHeight="1"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</row>
    <row r="970" spans="27:64" ht="15.75" customHeight="1"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</row>
    <row r="971" spans="27:64" ht="15.75" customHeight="1"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</row>
    <row r="972" spans="27:64" ht="15.75" customHeight="1"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</row>
    <row r="973" spans="27:64" ht="15.75" customHeight="1"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</row>
    <row r="974" spans="27:64" ht="15.75" customHeight="1"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</row>
    <row r="975" spans="27:64" ht="15.75" customHeight="1"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</row>
    <row r="976" spans="27:64" ht="15.75" customHeight="1"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</row>
    <row r="977" spans="27:64" ht="15.75" customHeight="1"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</row>
    <row r="978" spans="27:64" ht="15.75" customHeight="1"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</row>
    <row r="979" spans="27:64" ht="15.75" customHeight="1"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</row>
    <row r="980" spans="27:64" ht="15.75" customHeight="1"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</row>
    <row r="981" spans="27:64" ht="15.75" customHeight="1"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</row>
    <row r="982" spans="27:64" ht="15.75" customHeight="1"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</row>
    <row r="983" spans="27:64" ht="15.75" customHeight="1"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</row>
    <row r="984" spans="27:64" ht="15.75" customHeight="1"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</row>
    <row r="985" spans="27:64" ht="15.75" customHeight="1"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</row>
    <row r="986" spans="27:64" ht="15.75" customHeight="1"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</row>
    <row r="987" spans="27:64" ht="15.75" customHeight="1"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</row>
    <row r="988" spans="27:64" ht="15.75" customHeight="1"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</row>
    <row r="989" spans="27:64" ht="15.75" customHeight="1"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</row>
    <row r="990" spans="27:64" ht="15.75" customHeight="1"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</row>
    <row r="991" spans="27:64" ht="15.75" customHeight="1"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</row>
    <row r="992" spans="27:64" ht="15.75" customHeight="1"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</row>
    <row r="993" spans="27:64" ht="15.75" customHeight="1"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</row>
    <row r="994" spans="27:64" ht="15.75" customHeight="1"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</row>
    <row r="995" spans="27:64" ht="15.75" customHeight="1"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</row>
    <row r="996" spans="27:64" ht="15.75" customHeight="1"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</row>
    <row r="997" spans="27:64" ht="15.75" customHeight="1"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</row>
    <row r="998" spans="27:64" ht="15.75" customHeight="1"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</row>
    <row r="999" spans="27:64" ht="15.75" customHeight="1"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</row>
    <row r="1000" spans="27:64" ht="15.75" customHeight="1"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</row>
    <row r="1001" spans="27:64" ht="15.75" customHeight="1">
      <c r="AB1001" s="20"/>
      <c r="AE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</row>
    <row r="1002" spans="27:64" ht="15.75" customHeight="1">
      <c r="AE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L1002" s="20"/>
    </row>
  </sheetData>
  <sheetProtection algorithmName="SHA-512" hashValue="xzEqBAIfAKmgd20iRRv48QoZd99VQSdx/psfLtWnQm+kDYABuSUuy/Vf1kSbaA92yuHVAv03QRKplX9CBio03A==" saltValue="nh2hWk9xHfSgQCWufffZoQ==" spinCount="100000" sheet="1" objects="1" scenarios="1"/>
  <autoFilter ref="Z2:AA36" xr:uid="{00000000-0001-0000-0300-000000000000}"/>
  <mergeCells count="3">
    <mergeCell ref="A1:B1"/>
    <mergeCell ref="E1:V1"/>
    <mergeCell ref="W1:W3"/>
  </mergeCells>
  <conditionalFormatting sqref="B4:C29">
    <cfRule type="cellIs" dxfId="17" priority="3" operator="equal">
      <formula>"X"</formula>
    </cfRule>
  </conditionalFormatting>
  <conditionalFormatting sqref="D4:V35">
    <cfRule type="cellIs" dxfId="16" priority="2" operator="equal">
      <formula>"bj"</formula>
    </cfRule>
  </conditionalFormatting>
  <conditionalFormatting sqref="W17:W18">
    <cfRule type="cellIs" dxfId="15" priority="5" operator="equal">
      <formula>$J$5</formula>
    </cfRule>
  </conditionalFormatting>
  <conditionalFormatting sqref="Z4:Z35">
    <cfRule type="containsText" dxfId="14" priority="1" operator="containsText" text="Pasas con logros Pendientes">
      <formula>NOT(ISERROR(SEARCH("Pasas con logros Pendientes",Z4)))</formula>
    </cfRule>
    <cfRule type="cellIs" dxfId="13" priority="6" stopIfTrue="1" operator="equal">
      <formula>"Felicitaciones por el buen rendimiento Académico"</formula>
    </cfRule>
    <cfRule type="notContainsText" dxfId="12" priority="7" stopIfTrue="1" operator="notContains" text="Felicitaciones…pasas a noveno">
      <formula>ISERROR(SEARCH(("Felicitaciones…pasas a noveno"),(Z4)))</formula>
    </cfRule>
    <cfRule type="containsText" dxfId="11" priority="8" stopIfTrue="1" operator="containsText" text="Tu año esta en riesgo de perderse">
      <formula>NOT(ISERROR(SEARCH(("Tu año esta en riesgo de perderse"),(Z4))))</formula>
    </cfRule>
    <cfRule type="containsText" dxfId="10" priority="9" stopIfTrue="1" operator="containsText" text="Felicitaciones…pasas a noveno">
      <formula>NOT(ISERROR(SEARCH(("Felicitaciones…pasas a noveno"),(Z4))))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 r:id="rId1"/>
  <headerFooter>
    <oddFooter>&amp;CC:\Master2000\ - Página &amp;P de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L14"/>
  <sheetViews>
    <sheetView showGridLines="0" topLeftCell="E16" workbookViewId="0">
      <selection activeCell="Q31" sqref="Q31"/>
    </sheetView>
  </sheetViews>
  <sheetFormatPr baseColWidth="10" defaultRowHeight="15"/>
  <sheetData>
    <row r="14" spans="12:12">
      <c r="L14">
        <v>3108408921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000"/>
  <sheetViews>
    <sheetView showGridLines="0" workbookViewId="0">
      <selection activeCell="C5" sqref="C5"/>
    </sheetView>
  </sheetViews>
  <sheetFormatPr baseColWidth="10" defaultColWidth="14.42578125" defaultRowHeight="15" customHeight="1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  <col min="9" max="26" width="11.42578125" customWidth="1"/>
  </cols>
  <sheetData>
    <row r="1" spans="2:12" ht="6" customHeight="1"/>
    <row r="2" spans="2:12" ht="18.75">
      <c r="B2" s="108"/>
      <c r="C2" s="109" t="s">
        <v>128</v>
      </c>
      <c r="D2" s="110"/>
    </row>
    <row r="3" spans="2:12" ht="18.75">
      <c r="B3" s="182" t="s">
        <v>129</v>
      </c>
      <c r="C3" s="183"/>
      <c r="D3" s="184"/>
    </row>
    <row r="4" spans="2:12" ht="18">
      <c r="B4" s="185" t="s">
        <v>287</v>
      </c>
      <c r="C4" s="183"/>
      <c r="D4" s="184"/>
      <c r="L4" s="111"/>
    </row>
    <row r="5" spans="2:12">
      <c r="B5" s="112" t="s">
        <v>130</v>
      </c>
      <c r="C5" s="159"/>
      <c r="D5" s="113"/>
    </row>
    <row r="6" spans="2:12">
      <c r="B6" s="114" t="s">
        <v>131</v>
      </c>
      <c r="C6" s="186" t="str">
        <f>IF(ISBLANK(C5),"",IF(ISERROR(VLOOKUP(C5,BDNOTAS,3,FALSE)),"No existe",VLOOKUP(C5,BDNOTAS,3,FALSE)))</f>
        <v/>
      </c>
      <c r="D6" s="184"/>
    </row>
    <row r="7" spans="2:12">
      <c r="B7" s="115"/>
      <c r="C7" s="116"/>
      <c r="D7" s="117"/>
    </row>
    <row r="8" spans="2:12" ht="18.75">
      <c r="B8" s="187" t="s">
        <v>132</v>
      </c>
      <c r="C8" s="188"/>
      <c r="D8" s="118" t="s">
        <v>133</v>
      </c>
    </row>
    <row r="9" spans="2:12" ht="15.75" customHeight="1">
      <c r="B9" s="180" t="s">
        <v>33</v>
      </c>
      <c r="C9" s="165"/>
      <c r="D9" s="119" t="str">
        <f>IF(ISERROR(VLOOKUP($C$5,BDNOTAS,4,FALSE)),"",VLOOKUP($C$5,BDNOTAS,4,FALSE))</f>
        <v/>
      </c>
    </row>
    <row r="10" spans="2:12" ht="15.75" customHeight="1">
      <c r="B10" s="178" t="s">
        <v>34</v>
      </c>
      <c r="C10" s="165"/>
      <c r="D10" s="120" t="str">
        <f>IF(ISERROR(VLOOKUP($C$5,BDNOTAS,5,FALSE)),"",VLOOKUP($C$5,BDNOTAS,5,FALSE))</f>
        <v/>
      </c>
    </row>
    <row r="11" spans="2:12" ht="15" customHeight="1">
      <c r="B11" s="179" t="s">
        <v>35</v>
      </c>
      <c r="C11" s="170"/>
      <c r="D11" s="120" t="str">
        <f>IF(ISERROR(VLOOKUP($C$5,BDNOTAS,6,FALSE)),"",VLOOKUP($C$5,BDNOTAS,6,FALSE))</f>
        <v/>
      </c>
      <c r="G11" s="121" t="str">
        <f>IF(ISBLANK(C5),"",IF(D28&gt;0,"Entregar Actividades Pendientes","Felicitaciones, Sigue manteniendo tu buen rendimiento Académico"))</f>
        <v/>
      </c>
    </row>
    <row r="12" spans="2:12" ht="21.75" customHeight="1">
      <c r="B12" s="180" t="s">
        <v>36</v>
      </c>
      <c r="C12" s="165"/>
      <c r="D12" s="119" t="str">
        <f>IF(ISERROR(VLOOKUP($C$5,BDNOTAS,7,FALSE)),"",VLOOKUP($C$5,BDNOTAS,7,FALSE))</f>
        <v/>
      </c>
    </row>
    <row r="13" spans="2:12" ht="21.75" customHeight="1">
      <c r="B13" s="181" t="s">
        <v>37</v>
      </c>
      <c r="C13" s="170"/>
      <c r="D13" s="122" t="str">
        <f>IF(ISERROR(VLOOKUP($C$5,BDNOTAS,8,FALSE)),"",VLOOKUP($C$5,BDNOTAS,8,FALSE))</f>
        <v/>
      </c>
    </row>
    <row r="14" spans="2:12" ht="15.75" customHeight="1">
      <c r="B14" s="181" t="s">
        <v>134</v>
      </c>
      <c r="C14" s="170"/>
      <c r="D14" s="122" t="str">
        <f>IF(ISERROR(VLOOKUP($C$5,BDNOTAS,9,FALSE)),"",VLOOKUP($C$5,BDNOTAS,9,FALSE))</f>
        <v/>
      </c>
    </row>
    <row r="15" spans="2:12" ht="16.5" customHeight="1">
      <c r="B15" s="175" t="s">
        <v>39</v>
      </c>
      <c r="C15" s="165"/>
      <c r="D15" s="119" t="str">
        <f>IF(ISERROR(VLOOKUP($C$5,BDNOTAS,10,FALSE)),"",VLOOKUP($C$5,BDNOTAS,10,FALSE))</f>
        <v/>
      </c>
    </row>
    <row r="16" spans="2:12" ht="15.75" customHeight="1">
      <c r="B16" s="175" t="s">
        <v>40</v>
      </c>
      <c r="C16" s="165"/>
      <c r="D16" s="119" t="str">
        <f>IF(ISERROR(VLOOKUP($C$5,BDNOTAS,11,FALSE)),"",VLOOKUP($C$5,BDNOTAS,11,FALSE))</f>
        <v/>
      </c>
    </row>
    <row r="17" spans="2:4" ht="15.75" customHeight="1">
      <c r="B17" s="172" t="s">
        <v>135</v>
      </c>
      <c r="C17" s="170"/>
      <c r="D17" s="119" t="str">
        <f>IF(ISERROR(VLOOKUP($C$5,BDNOTAS,12,FALSE)),"",VLOOKUP($C$5,BDNOTAS,12,FALSE))</f>
        <v/>
      </c>
    </row>
    <row r="18" spans="2:4" ht="15.75" customHeight="1">
      <c r="B18" s="171" t="s">
        <v>42</v>
      </c>
      <c r="C18" s="170"/>
      <c r="D18" s="123" t="str">
        <f>IF(ISERROR(VLOOKUP($C$5,BDNOTAS,13,FALSE)),"",VLOOKUP($C$5,BDNOTAS,13,FALSE))</f>
        <v/>
      </c>
    </row>
    <row r="19" spans="2:4" ht="15.75" customHeight="1">
      <c r="B19" s="171" t="s">
        <v>43</v>
      </c>
      <c r="C19" s="170"/>
      <c r="D19" s="123" t="str">
        <f>IF(ISERROR(VLOOKUP($C$5,BDNOTAS,14,FALSE)),"",VLOOKUP($C$5,BDNOTAS,14,FALSE))</f>
        <v/>
      </c>
    </row>
    <row r="20" spans="2:4">
      <c r="B20" s="171" t="s">
        <v>44</v>
      </c>
      <c r="C20" s="170"/>
      <c r="D20" s="123" t="str">
        <f>IF(ISERROR(VLOOKUP($C$5,BDNOTAS,15,FALSE)),"",VLOOKUP($C$5,BDNOTAS,15,FALSE))</f>
        <v/>
      </c>
    </row>
    <row r="21" spans="2:4" ht="15.75" customHeight="1">
      <c r="B21" s="172" t="s">
        <v>136</v>
      </c>
      <c r="C21" s="170"/>
      <c r="D21" s="119" t="str">
        <f>IF(ISERROR(VLOOKUP($C$5,BDNOTAS,16,FALSE)),"",VLOOKUP($C$5,BDNOTAS,16,FALSE))</f>
        <v/>
      </c>
    </row>
    <row r="22" spans="2:4" ht="15.75" customHeight="1">
      <c r="B22" s="173" t="s">
        <v>46</v>
      </c>
      <c r="C22" s="170"/>
      <c r="D22" s="124" t="str">
        <f>IF(ISERROR(VLOOKUP($C$5,BDNOTAS,17,FALSE)),"",VLOOKUP($C$5,BDNOTAS,17,FALSE))</f>
        <v/>
      </c>
    </row>
    <row r="23" spans="2:4" ht="15.75" customHeight="1">
      <c r="B23" s="173" t="s">
        <v>137</v>
      </c>
      <c r="C23" s="170"/>
      <c r="D23" s="124" t="str">
        <f>IF(ISERROR(VLOOKUP($C$5,BDNOTAS,18,FALSE)),"",VLOOKUP($C$5,BDNOTAS,18,FALSE))</f>
        <v/>
      </c>
    </row>
    <row r="24" spans="2:4" ht="15.75" customHeight="1">
      <c r="B24" s="172" t="s">
        <v>138</v>
      </c>
      <c r="C24" s="170"/>
      <c r="D24" s="119" t="str">
        <f>IF(ISERROR(VLOOKUP($C$5,BDNOTAS,19,FALSE)),"",VLOOKUP($C$5,BDNOTAS,19,FALSE))</f>
        <v/>
      </c>
    </row>
    <row r="25" spans="2:4" ht="15.75" customHeight="1">
      <c r="B25" s="174" t="s">
        <v>49</v>
      </c>
      <c r="C25" s="170"/>
      <c r="D25" s="125" t="str">
        <f>IF(ISERROR(VLOOKUP($C$5,BDNOTAS,20,FALSE)),"",VLOOKUP($C$5,BDNOTAS,20,FALSE))</f>
        <v/>
      </c>
    </row>
    <row r="26" spans="2:4" ht="15.75" customHeight="1">
      <c r="B26" s="176" t="s">
        <v>50</v>
      </c>
      <c r="C26" s="177"/>
      <c r="D26" s="125" t="str">
        <f>IF(ISERROR(VLOOKUP($C$5,BDNOTAS,21,FALSE)),"",VLOOKUP($C$5,BDNOTAS,21,FALSE))</f>
        <v/>
      </c>
    </row>
    <row r="27" spans="2:4" ht="15.75" customHeight="1">
      <c r="B27" s="169" t="s">
        <v>51</v>
      </c>
      <c r="C27" s="170"/>
      <c r="D27" s="119" t="str">
        <f>IF(ISERROR(VLOOKUP($C$5,BDNOTAS,22,FALSE)),"",VLOOKUP($C$5,BDNOTAS,22,FALSE))</f>
        <v/>
      </c>
    </row>
    <row r="28" spans="2:4" ht="15.75" customHeight="1">
      <c r="B28" s="126" t="s">
        <v>139</v>
      </c>
      <c r="C28" s="127"/>
      <c r="D28" s="128">
        <f>COUNTIF(D10:D27,"x")</f>
        <v>0</v>
      </c>
    </row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y2svKFh2BFFUQC/jmlsv2CnkzsRXV6bTFTd74Kmz2gpnFs8H6xLITSrwKDOatSUqGsLF1mJWPQoNVEyQ4BIrRA==" saltValue="My09VwVEdkfPZCT+R20IXw==" spinCount="100000" sheet="1" objects="1" scenarios="1"/>
  <mergeCells count="23">
    <mergeCell ref="B3:D3"/>
    <mergeCell ref="B4:D4"/>
    <mergeCell ref="C6:D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7:C27"/>
    <mergeCell ref="B19:C19"/>
    <mergeCell ref="B20:C20"/>
    <mergeCell ref="B21:C21"/>
    <mergeCell ref="B22:C22"/>
    <mergeCell ref="B23:C23"/>
    <mergeCell ref="B24:C24"/>
    <mergeCell ref="B25:C25"/>
  </mergeCells>
  <conditionalFormatting sqref="G11">
    <cfRule type="cellIs" dxfId="9" priority="1" operator="equal">
      <formula>"Felicitaciones, Sigue manteniendo tu buen rendimiento Académico"</formula>
    </cfRule>
    <cfRule type="cellIs" dxfId="8" priority="2" operator="equal">
      <formula>"Entregar Actividades Pendientes"</formula>
    </cfRule>
  </conditionalFormatting>
  <pageMargins left="0.7" right="0.7" top="0.75" bottom="0.7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1000"/>
  <sheetViews>
    <sheetView workbookViewId="0"/>
  </sheetViews>
  <sheetFormatPr baseColWidth="10" defaultColWidth="14.42578125" defaultRowHeight="15" customHeight="1"/>
  <cols>
    <col min="1" max="1" width="11.42578125" customWidth="1"/>
    <col min="2" max="2" width="25.28515625" customWidth="1"/>
    <col min="3" max="26" width="11.42578125" customWidth="1"/>
  </cols>
  <sheetData>
    <row r="1" spans="2:4">
      <c r="B1" s="91" t="s">
        <v>140</v>
      </c>
      <c r="C1" s="91" t="s">
        <v>116</v>
      </c>
      <c r="D1" s="91" t="s">
        <v>23</v>
      </c>
    </row>
    <row r="2" spans="2:4">
      <c r="B2" s="62" t="s">
        <v>141</v>
      </c>
      <c r="C2" s="62">
        <f>COUNTIF('Informe Final 1 periodo'!$AF$4:$AF$29,"4")</f>
        <v>0</v>
      </c>
      <c r="D2" s="101">
        <f t="shared" ref="D2:D5" si="0">C2/$C$6</f>
        <v>0</v>
      </c>
    </row>
    <row r="3" spans="2:4">
      <c r="B3" s="62" t="s">
        <v>142</v>
      </c>
      <c r="C3" s="62">
        <f>COUNTIF('Informe Final 1 periodo'!$AF$4:$AF$29,"3")</f>
        <v>0</v>
      </c>
      <c r="D3" s="101">
        <f t="shared" si="0"/>
        <v>0</v>
      </c>
    </row>
    <row r="4" spans="2:4">
      <c r="B4" s="62" t="s">
        <v>143</v>
      </c>
      <c r="C4" s="62">
        <f>COUNTIF('Informe Final 1 periodo'!$AF$4:$AF$29,"2")</f>
        <v>3</v>
      </c>
      <c r="D4" s="101">
        <f t="shared" si="0"/>
        <v>0.375</v>
      </c>
    </row>
    <row r="5" spans="2:4">
      <c r="B5" s="62" t="s">
        <v>144</v>
      </c>
      <c r="C5" s="62">
        <f>COUNTIF('Informe Final 1 periodo'!$AF$4:$AF$29,"1")</f>
        <v>5</v>
      </c>
      <c r="D5" s="101">
        <f t="shared" si="0"/>
        <v>0.625</v>
      </c>
    </row>
    <row r="6" spans="2:4">
      <c r="C6" s="50">
        <f>SUM(C2:C5)</f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1:A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4.42578125" defaultRowHeight="15" customHeight="1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customWidth="1"/>
    <col min="6" max="7" width="8.85546875" customWidth="1"/>
    <col min="8" max="8" width="9.28515625" customWidth="1"/>
    <col min="9" max="10" width="8.28515625" customWidth="1"/>
    <col min="11" max="11" width="6.28515625" customWidth="1"/>
    <col min="12" max="12" width="6.7109375" customWidth="1"/>
    <col min="13" max="13" width="3.42578125" customWidth="1"/>
    <col min="14" max="16" width="11.42578125" customWidth="1"/>
    <col min="17" max="17" width="18.5703125" customWidth="1"/>
    <col min="18" max="26" width="11.42578125" customWidth="1"/>
  </cols>
  <sheetData>
    <row r="1" spans="1:18">
      <c r="A1" s="161" t="s">
        <v>27</v>
      </c>
      <c r="B1" s="162"/>
      <c r="C1" s="19" t="s">
        <v>145</v>
      </c>
      <c r="D1" s="19"/>
      <c r="E1" s="189"/>
      <c r="F1" s="190"/>
      <c r="G1" s="190"/>
      <c r="H1" s="190"/>
      <c r="I1" s="190"/>
      <c r="J1" s="190"/>
      <c r="K1" s="190"/>
      <c r="L1" s="191"/>
      <c r="M1" s="166" t="s">
        <v>29</v>
      </c>
    </row>
    <row r="2" spans="1:18">
      <c r="A2" s="195" t="s">
        <v>146</v>
      </c>
      <c r="B2" s="196"/>
      <c r="C2" s="129" t="s">
        <v>147</v>
      </c>
      <c r="D2" s="129"/>
      <c r="E2" s="192"/>
      <c r="F2" s="193"/>
      <c r="G2" s="193"/>
      <c r="H2" s="193"/>
      <c r="I2" s="193"/>
      <c r="J2" s="193"/>
      <c r="K2" s="193"/>
      <c r="L2" s="194"/>
      <c r="M2" s="167"/>
    </row>
    <row r="3" spans="1:18" ht="94.5" customHeight="1">
      <c r="A3" s="197" t="s">
        <v>30</v>
      </c>
      <c r="B3" s="199" t="s">
        <v>31</v>
      </c>
      <c r="C3" s="130" t="s">
        <v>32</v>
      </c>
      <c r="D3" s="24" t="s">
        <v>33</v>
      </c>
      <c r="E3" s="24" t="s">
        <v>36</v>
      </c>
      <c r="F3" s="24" t="s">
        <v>39</v>
      </c>
      <c r="G3" s="24" t="s">
        <v>148</v>
      </c>
      <c r="H3" s="24" t="s">
        <v>40</v>
      </c>
      <c r="I3" s="24" t="s">
        <v>149</v>
      </c>
      <c r="J3" s="24" t="s">
        <v>41</v>
      </c>
      <c r="K3" s="24" t="s">
        <v>45</v>
      </c>
      <c r="L3" s="24" t="s">
        <v>48</v>
      </c>
      <c r="M3" s="167"/>
    </row>
    <row r="4" spans="1:18">
      <c r="A4" s="198"/>
      <c r="B4" s="168"/>
      <c r="C4" s="131"/>
      <c r="D4" s="37">
        <v>1</v>
      </c>
      <c r="E4" s="37">
        <v>1</v>
      </c>
      <c r="F4" s="37">
        <v>1</v>
      </c>
      <c r="G4" s="37">
        <v>1</v>
      </c>
      <c r="H4" s="37">
        <v>1</v>
      </c>
      <c r="I4" s="37">
        <v>1</v>
      </c>
      <c r="J4" s="37"/>
      <c r="K4" s="37"/>
      <c r="L4" s="37">
        <v>1</v>
      </c>
      <c r="M4" s="168"/>
    </row>
    <row r="5" spans="1:18" ht="24" customHeight="1">
      <c r="A5" s="60">
        <v>1</v>
      </c>
      <c r="B5" s="132" t="s">
        <v>150</v>
      </c>
      <c r="C5" s="133" t="s">
        <v>151</v>
      </c>
      <c r="D5" s="134"/>
      <c r="E5" s="135" t="s">
        <v>58</v>
      </c>
      <c r="F5" s="135" t="s">
        <v>58</v>
      </c>
      <c r="G5" s="135" t="s">
        <v>58</v>
      </c>
      <c r="H5" s="135" t="s">
        <v>58</v>
      </c>
      <c r="I5" s="135"/>
      <c r="J5" s="135" t="s">
        <v>58</v>
      </c>
      <c r="K5" s="135" t="s">
        <v>58</v>
      </c>
      <c r="L5" s="135" t="s">
        <v>58</v>
      </c>
      <c r="M5" s="136">
        <f t="shared" ref="M5:M39" si="0">COUNTIF(D5:L5,"x")</f>
        <v>7</v>
      </c>
      <c r="P5" s="50" t="s">
        <v>63</v>
      </c>
      <c r="Q5" s="50" t="s">
        <v>64</v>
      </c>
      <c r="R5" s="50" t="s">
        <v>23</v>
      </c>
    </row>
    <row r="6" spans="1:18" ht="24" customHeight="1">
      <c r="A6" s="60">
        <v>2</v>
      </c>
      <c r="B6" s="132" t="s">
        <v>152</v>
      </c>
      <c r="C6" s="137" t="s">
        <v>153</v>
      </c>
      <c r="D6" s="138" t="s">
        <v>58</v>
      </c>
      <c r="E6" s="139"/>
      <c r="F6" s="139" t="s">
        <v>58</v>
      </c>
      <c r="G6" s="139" t="s">
        <v>58</v>
      </c>
      <c r="H6" s="139" t="s">
        <v>58</v>
      </c>
      <c r="I6" s="139"/>
      <c r="J6" s="139" t="s">
        <v>58</v>
      </c>
      <c r="K6" s="139"/>
      <c r="L6" s="139" t="s">
        <v>58</v>
      </c>
      <c r="M6" s="136">
        <f t="shared" si="0"/>
        <v>6</v>
      </c>
      <c r="P6" s="51" t="s">
        <v>2</v>
      </c>
      <c r="Q6" s="50">
        <f>COUNTIF($M$5:$M$39,"0")</f>
        <v>9</v>
      </c>
      <c r="R6" s="52">
        <f t="shared" ref="R6:R15" si="1">Q6/$Q$16</f>
        <v>0.25714285714285712</v>
      </c>
    </row>
    <row r="7" spans="1:18" ht="24" customHeight="1">
      <c r="A7" s="60">
        <v>3</v>
      </c>
      <c r="B7" s="132" t="s">
        <v>154</v>
      </c>
      <c r="C7" s="137" t="s">
        <v>155</v>
      </c>
      <c r="D7" s="138"/>
      <c r="E7" s="139"/>
      <c r="F7" s="139"/>
      <c r="G7" s="139"/>
      <c r="H7" s="139"/>
      <c r="I7" s="139"/>
      <c r="J7" s="139"/>
      <c r="K7" s="139"/>
      <c r="L7" s="139"/>
      <c r="M7" s="136">
        <f t="shared" si="0"/>
        <v>0</v>
      </c>
      <c r="P7" s="51" t="s">
        <v>3</v>
      </c>
      <c r="Q7" s="50">
        <f>COUNTIF($M$5:$M$39,"1")</f>
        <v>4</v>
      </c>
      <c r="R7" s="52">
        <f t="shared" si="1"/>
        <v>0.11428571428571428</v>
      </c>
    </row>
    <row r="8" spans="1:18" ht="24" customHeight="1">
      <c r="A8" s="60">
        <v>4</v>
      </c>
      <c r="B8" s="132" t="s">
        <v>156</v>
      </c>
      <c r="C8" s="137" t="s">
        <v>157</v>
      </c>
      <c r="D8" s="138" t="s">
        <v>58</v>
      </c>
      <c r="E8" s="139" t="s">
        <v>58</v>
      </c>
      <c r="F8" s="139" t="s">
        <v>58</v>
      </c>
      <c r="G8" s="139" t="s">
        <v>58</v>
      </c>
      <c r="H8" s="139" t="s">
        <v>58</v>
      </c>
      <c r="I8" s="139" t="s">
        <v>58</v>
      </c>
      <c r="J8" s="139" t="s">
        <v>58</v>
      </c>
      <c r="K8" s="139" t="s">
        <v>58</v>
      </c>
      <c r="L8" s="139" t="s">
        <v>58</v>
      </c>
      <c r="M8" s="136">
        <f t="shared" si="0"/>
        <v>9</v>
      </c>
      <c r="P8" s="51" t="s">
        <v>4</v>
      </c>
      <c r="Q8" s="50">
        <f>COUNTIF($M$5:$M$39,"2")</f>
        <v>5</v>
      </c>
      <c r="R8" s="52">
        <f t="shared" si="1"/>
        <v>0.14285714285714285</v>
      </c>
    </row>
    <row r="9" spans="1:18" ht="24" customHeight="1">
      <c r="A9" s="60">
        <v>5</v>
      </c>
      <c r="B9" s="132" t="s">
        <v>158</v>
      </c>
      <c r="C9" s="137" t="s">
        <v>159</v>
      </c>
      <c r="D9" s="138"/>
      <c r="E9" s="139" t="s">
        <v>58</v>
      </c>
      <c r="F9" s="139"/>
      <c r="G9" s="139"/>
      <c r="H9" s="139"/>
      <c r="I9" s="139"/>
      <c r="J9" s="139"/>
      <c r="K9" s="139"/>
      <c r="L9" s="139"/>
      <c r="M9" s="136">
        <f t="shared" si="0"/>
        <v>1</v>
      </c>
      <c r="P9" s="51" t="s">
        <v>5</v>
      </c>
      <c r="Q9" s="50">
        <f>COUNTIF($M$5:$M$39,"3")</f>
        <v>0</v>
      </c>
      <c r="R9" s="52">
        <f t="shared" si="1"/>
        <v>0</v>
      </c>
    </row>
    <row r="10" spans="1:18" ht="24" customHeight="1">
      <c r="A10" s="60">
        <v>6</v>
      </c>
      <c r="B10" s="132" t="s">
        <v>160</v>
      </c>
      <c r="C10" s="137" t="s">
        <v>161</v>
      </c>
      <c r="D10" s="138" t="s">
        <v>58</v>
      </c>
      <c r="E10" s="139" t="s">
        <v>58</v>
      </c>
      <c r="F10" s="139"/>
      <c r="G10" s="139" t="s">
        <v>58</v>
      </c>
      <c r="H10" s="139" t="s">
        <v>58</v>
      </c>
      <c r="I10" s="139"/>
      <c r="J10" s="139"/>
      <c r="K10" s="139" t="s">
        <v>58</v>
      </c>
      <c r="L10" s="139" t="s">
        <v>58</v>
      </c>
      <c r="M10" s="136">
        <f t="shared" si="0"/>
        <v>6</v>
      </c>
      <c r="P10" s="51" t="s">
        <v>6</v>
      </c>
      <c r="Q10" s="50">
        <f>COUNTIF($M$5:$M$39,"4")</f>
        <v>2</v>
      </c>
      <c r="R10" s="52">
        <f t="shared" si="1"/>
        <v>5.7142857142857141E-2</v>
      </c>
    </row>
    <row r="11" spans="1:18" ht="24" customHeight="1">
      <c r="A11" s="60">
        <v>7</v>
      </c>
      <c r="B11" s="132" t="s">
        <v>162</v>
      </c>
      <c r="C11" s="137" t="s">
        <v>163</v>
      </c>
      <c r="D11" s="138"/>
      <c r="E11" s="139"/>
      <c r="F11" s="139"/>
      <c r="G11" s="139"/>
      <c r="H11" s="139"/>
      <c r="I11" s="139"/>
      <c r="J11" s="139"/>
      <c r="K11" s="139"/>
      <c r="L11" s="139"/>
      <c r="M11" s="136">
        <f t="shared" si="0"/>
        <v>0</v>
      </c>
      <c r="P11" s="51" t="s">
        <v>7</v>
      </c>
      <c r="Q11" s="50">
        <f>COUNTIF($M$5:$M$39,"5")</f>
        <v>3</v>
      </c>
      <c r="R11" s="52">
        <f t="shared" si="1"/>
        <v>8.5714285714285715E-2</v>
      </c>
    </row>
    <row r="12" spans="1:18" ht="24" customHeight="1">
      <c r="A12" s="60">
        <v>9</v>
      </c>
      <c r="B12" s="132" t="s">
        <v>164</v>
      </c>
      <c r="C12" s="137" t="s">
        <v>165</v>
      </c>
      <c r="D12" s="138" t="s">
        <v>58</v>
      </c>
      <c r="E12" s="139" t="s">
        <v>58</v>
      </c>
      <c r="F12" s="139"/>
      <c r="G12" s="139"/>
      <c r="H12" s="139" t="s">
        <v>58</v>
      </c>
      <c r="I12" s="139"/>
      <c r="J12" s="139"/>
      <c r="K12" s="139" t="s">
        <v>58</v>
      </c>
      <c r="L12" s="139" t="s">
        <v>58</v>
      </c>
      <c r="M12" s="136">
        <f t="shared" si="0"/>
        <v>5</v>
      </c>
      <c r="P12" s="51" t="s">
        <v>8</v>
      </c>
      <c r="Q12" s="50">
        <f>COUNTIF($M$5:$M$39,"6")</f>
        <v>4</v>
      </c>
      <c r="R12" s="52">
        <f t="shared" si="1"/>
        <v>0.11428571428571428</v>
      </c>
    </row>
    <row r="13" spans="1:18" ht="24" customHeight="1">
      <c r="A13" s="60">
        <v>10</v>
      </c>
      <c r="B13" s="132" t="s">
        <v>166</v>
      </c>
      <c r="C13" s="137" t="s">
        <v>167</v>
      </c>
      <c r="D13" s="138" t="s">
        <v>58</v>
      </c>
      <c r="E13" s="139" t="s">
        <v>58</v>
      </c>
      <c r="F13" s="139" t="s">
        <v>58</v>
      </c>
      <c r="G13" s="139"/>
      <c r="H13" s="139"/>
      <c r="I13" s="139"/>
      <c r="J13" s="139" t="s">
        <v>58</v>
      </c>
      <c r="K13" s="139" t="s">
        <v>58</v>
      </c>
      <c r="L13" s="139" t="s">
        <v>58</v>
      </c>
      <c r="M13" s="136">
        <f t="shared" si="0"/>
        <v>6</v>
      </c>
      <c r="P13" s="51" t="s">
        <v>9</v>
      </c>
      <c r="Q13" s="50">
        <f>COUNTIF($M$5:$M$39,"7")</f>
        <v>3</v>
      </c>
      <c r="R13" s="52">
        <f t="shared" si="1"/>
        <v>8.5714285714285715E-2</v>
      </c>
    </row>
    <row r="14" spans="1:18" ht="24" customHeight="1">
      <c r="A14" s="60">
        <v>11</v>
      </c>
      <c r="B14" s="132" t="s">
        <v>168</v>
      </c>
      <c r="C14" s="137" t="s">
        <v>169</v>
      </c>
      <c r="D14" s="138" t="s">
        <v>58</v>
      </c>
      <c r="E14" s="139" t="s">
        <v>58</v>
      </c>
      <c r="F14" s="139" t="s">
        <v>58</v>
      </c>
      <c r="G14" s="139" t="s">
        <v>58</v>
      </c>
      <c r="H14" s="139" t="s">
        <v>58</v>
      </c>
      <c r="I14" s="139" t="s">
        <v>58</v>
      </c>
      <c r="J14" s="139" t="s">
        <v>58</v>
      </c>
      <c r="K14" s="139" t="s">
        <v>58</v>
      </c>
      <c r="L14" s="139" t="s">
        <v>58</v>
      </c>
      <c r="M14" s="136">
        <f t="shared" si="0"/>
        <v>9</v>
      </c>
      <c r="P14" s="51" t="s">
        <v>10</v>
      </c>
      <c r="Q14" s="50">
        <f>COUNTIF($M$5:$M$39,"8")</f>
        <v>2</v>
      </c>
      <c r="R14" s="52">
        <f t="shared" si="1"/>
        <v>5.7142857142857141E-2</v>
      </c>
    </row>
    <row r="15" spans="1:18" ht="24" customHeight="1">
      <c r="A15" s="60">
        <v>12</v>
      </c>
      <c r="B15" s="132" t="s">
        <v>170</v>
      </c>
      <c r="C15" s="137" t="s">
        <v>171</v>
      </c>
      <c r="D15" s="138" t="s">
        <v>58</v>
      </c>
      <c r="E15" s="139"/>
      <c r="F15" s="139" t="s">
        <v>58</v>
      </c>
      <c r="G15" s="139"/>
      <c r="H15" s="139"/>
      <c r="I15" s="139"/>
      <c r="J15" s="139" t="s">
        <v>58</v>
      </c>
      <c r="K15" s="139" t="s">
        <v>58</v>
      </c>
      <c r="L15" s="139" t="s">
        <v>58</v>
      </c>
      <c r="M15" s="136">
        <f t="shared" si="0"/>
        <v>5</v>
      </c>
      <c r="P15" s="51" t="s">
        <v>11</v>
      </c>
      <c r="Q15" s="50">
        <f>COUNTIF($M$5:$M$39,"9")</f>
        <v>3</v>
      </c>
      <c r="R15" s="52">
        <f t="shared" si="1"/>
        <v>8.5714285714285715E-2</v>
      </c>
    </row>
    <row r="16" spans="1:18" ht="24" customHeight="1">
      <c r="A16" s="60">
        <v>13</v>
      </c>
      <c r="B16" s="132" t="s">
        <v>172</v>
      </c>
      <c r="C16" s="137" t="s">
        <v>173</v>
      </c>
      <c r="D16" s="138" t="s">
        <v>58</v>
      </c>
      <c r="E16" s="139" t="s">
        <v>58</v>
      </c>
      <c r="F16" s="139"/>
      <c r="G16" s="139" t="s">
        <v>58</v>
      </c>
      <c r="H16" s="139"/>
      <c r="I16" s="139"/>
      <c r="J16" s="139"/>
      <c r="K16" s="139" t="s">
        <v>58</v>
      </c>
      <c r="L16" s="139" t="s">
        <v>58</v>
      </c>
      <c r="M16" s="136">
        <f t="shared" si="0"/>
        <v>5</v>
      </c>
      <c r="Q16" s="50">
        <f>SUM(Q6:Q15)</f>
        <v>35</v>
      </c>
    </row>
    <row r="17" spans="1:17" ht="24" customHeight="1">
      <c r="A17" s="60">
        <v>14</v>
      </c>
      <c r="B17" s="132" t="s">
        <v>174</v>
      </c>
      <c r="C17" s="137" t="s">
        <v>175</v>
      </c>
      <c r="D17" s="138" t="s">
        <v>58</v>
      </c>
      <c r="E17" s="139" t="s">
        <v>58</v>
      </c>
      <c r="F17" s="139" t="s">
        <v>58</v>
      </c>
      <c r="G17" s="139"/>
      <c r="H17" s="139"/>
      <c r="I17" s="139"/>
      <c r="J17" s="139"/>
      <c r="K17" s="139" t="s">
        <v>58</v>
      </c>
      <c r="L17" s="139"/>
      <c r="M17" s="136">
        <f t="shared" si="0"/>
        <v>4</v>
      </c>
    </row>
    <row r="18" spans="1:17" ht="24" customHeight="1">
      <c r="A18" s="60">
        <v>15</v>
      </c>
      <c r="B18" s="132" t="s">
        <v>176</v>
      </c>
      <c r="C18" s="137" t="s">
        <v>177</v>
      </c>
      <c r="D18" s="138"/>
      <c r="E18" s="139"/>
      <c r="F18" s="139"/>
      <c r="G18" s="139"/>
      <c r="H18" s="139"/>
      <c r="I18" s="139"/>
      <c r="J18" s="139"/>
      <c r="K18" s="139"/>
      <c r="L18" s="139"/>
      <c r="M18" s="136">
        <f t="shared" si="0"/>
        <v>0</v>
      </c>
    </row>
    <row r="19" spans="1:17" ht="24" customHeight="1">
      <c r="A19" s="60">
        <v>16</v>
      </c>
      <c r="B19" s="132" t="s">
        <v>178</v>
      </c>
      <c r="C19" s="137" t="s">
        <v>179</v>
      </c>
      <c r="D19" s="138"/>
      <c r="E19" s="139"/>
      <c r="F19" s="139"/>
      <c r="G19" s="139"/>
      <c r="H19" s="139"/>
      <c r="I19" s="139"/>
      <c r="J19" s="139" t="s">
        <v>58</v>
      </c>
      <c r="K19" s="139" t="s">
        <v>58</v>
      </c>
      <c r="L19" s="139"/>
      <c r="M19" s="136">
        <f t="shared" si="0"/>
        <v>2</v>
      </c>
    </row>
    <row r="20" spans="1:17" ht="24" customHeight="1">
      <c r="A20" s="60">
        <v>17</v>
      </c>
      <c r="B20" s="132" t="s">
        <v>180</v>
      </c>
      <c r="C20" s="137" t="s">
        <v>181</v>
      </c>
      <c r="D20" s="138"/>
      <c r="E20" s="139"/>
      <c r="F20" s="139"/>
      <c r="G20" s="139"/>
      <c r="H20" s="139"/>
      <c r="I20" s="139"/>
      <c r="J20" s="139"/>
      <c r="K20" s="139"/>
      <c r="L20" s="139" t="s">
        <v>58</v>
      </c>
      <c r="M20" s="136">
        <f t="shared" si="0"/>
        <v>1</v>
      </c>
    </row>
    <row r="21" spans="1:17" ht="24" customHeight="1">
      <c r="A21" s="60">
        <v>18</v>
      </c>
      <c r="B21" s="132" t="s">
        <v>182</v>
      </c>
      <c r="C21" s="137" t="s">
        <v>183</v>
      </c>
      <c r="D21" s="138" t="s">
        <v>58</v>
      </c>
      <c r="E21" s="139" t="s">
        <v>58</v>
      </c>
      <c r="F21" s="139" t="s">
        <v>58</v>
      </c>
      <c r="G21" s="139" t="s">
        <v>58</v>
      </c>
      <c r="H21" s="139" t="s">
        <v>58</v>
      </c>
      <c r="I21" s="139"/>
      <c r="J21" s="139" t="s">
        <v>58</v>
      </c>
      <c r="K21" s="139" t="s">
        <v>58</v>
      </c>
      <c r="L21" s="139" t="s">
        <v>58</v>
      </c>
      <c r="M21" s="136">
        <f t="shared" si="0"/>
        <v>8</v>
      </c>
      <c r="Q21" s="50">
        <f>SUM(Q6:Q8)</f>
        <v>18</v>
      </c>
    </row>
    <row r="22" spans="1:17" ht="24" customHeight="1">
      <c r="A22" s="60">
        <v>19</v>
      </c>
      <c r="B22" s="132" t="s">
        <v>184</v>
      </c>
      <c r="C22" s="137" t="s">
        <v>185</v>
      </c>
      <c r="D22" s="138"/>
      <c r="E22" s="139"/>
      <c r="F22" s="139"/>
      <c r="G22" s="139"/>
      <c r="H22" s="139"/>
      <c r="I22" s="139"/>
      <c r="J22" s="139"/>
      <c r="K22" s="139"/>
      <c r="L22" s="139"/>
      <c r="M22" s="136">
        <f t="shared" si="0"/>
        <v>0</v>
      </c>
    </row>
    <row r="23" spans="1:17" ht="24" customHeight="1">
      <c r="A23" s="60">
        <v>21</v>
      </c>
      <c r="B23" s="132" t="s">
        <v>186</v>
      </c>
      <c r="C23" s="137" t="s">
        <v>187</v>
      </c>
      <c r="D23" s="138"/>
      <c r="E23" s="139"/>
      <c r="F23" s="139"/>
      <c r="G23" s="139"/>
      <c r="H23" s="139"/>
      <c r="I23" s="139"/>
      <c r="J23" s="139"/>
      <c r="K23" s="139" t="s">
        <v>58</v>
      </c>
      <c r="L23" s="139"/>
      <c r="M23" s="136">
        <f t="shared" si="0"/>
        <v>1</v>
      </c>
    </row>
    <row r="24" spans="1:17" ht="24" customHeight="1">
      <c r="A24" s="60">
        <v>22</v>
      </c>
      <c r="B24" s="132" t="s">
        <v>188</v>
      </c>
      <c r="C24" s="137" t="s">
        <v>189</v>
      </c>
      <c r="D24" s="138"/>
      <c r="E24" s="139"/>
      <c r="F24" s="139"/>
      <c r="G24" s="139"/>
      <c r="H24" s="139"/>
      <c r="I24" s="139"/>
      <c r="J24" s="139"/>
      <c r="K24" s="139"/>
      <c r="L24" s="139"/>
      <c r="M24" s="136">
        <f t="shared" si="0"/>
        <v>0</v>
      </c>
    </row>
    <row r="25" spans="1:17" ht="24" customHeight="1">
      <c r="A25" s="60">
        <v>23</v>
      </c>
      <c r="B25" s="132" t="s">
        <v>190</v>
      </c>
      <c r="C25" s="137" t="s">
        <v>191</v>
      </c>
      <c r="D25" s="138"/>
      <c r="E25" s="139" t="s">
        <v>58</v>
      </c>
      <c r="F25" s="139"/>
      <c r="G25" s="139"/>
      <c r="H25" s="139"/>
      <c r="I25" s="139"/>
      <c r="J25" s="139"/>
      <c r="K25" s="139" t="s">
        <v>58</v>
      </c>
      <c r="L25" s="139"/>
      <c r="M25" s="136">
        <f t="shared" si="0"/>
        <v>2</v>
      </c>
    </row>
    <row r="26" spans="1:17" ht="24" customHeight="1">
      <c r="A26" s="60">
        <v>24</v>
      </c>
      <c r="B26" s="132" t="s">
        <v>192</v>
      </c>
      <c r="C26" s="137" t="s">
        <v>193</v>
      </c>
      <c r="D26" s="138" t="s">
        <v>58</v>
      </c>
      <c r="E26" s="139" t="s">
        <v>58</v>
      </c>
      <c r="F26" s="139" t="s">
        <v>58</v>
      </c>
      <c r="G26" s="139" t="s">
        <v>58</v>
      </c>
      <c r="H26" s="139" t="s">
        <v>58</v>
      </c>
      <c r="I26" s="139" t="s">
        <v>58</v>
      </c>
      <c r="J26" s="139" t="s">
        <v>58</v>
      </c>
      <c r="K26" s="139" t="s">
        <v>58</v>
      </c>
      <c r="L26" s="139"/>
      <c r="M26" s="136">
        <f t="shared" si="0"/>
        <v>8</v>
      </c>
    </row>
    <row r="27" spans="1:17" ht="24" customHeight="1">
      <c r="A27" s="60">
        <v>25</v>
      </c>
      <c r="B27" s="132" t="s">
        <v>194</v>
      </c>
      <c r="C27" s="137" t="s">
        <v>195</v>
      </c>
      <c r="D27" s="138"/>
      <c r="E27" s="139" t="s">
        <v>58</v>
      </c>
      <c r="F27" s="139" t="s">
        <v>58</v>
      </c>
      <c r="G27" s="139" t="s">
        <v>58</v>
      </c>
      <c r="H27" s="139" t="s">
        <v>58</v>
      </c>
      <c r="I27" s="139" t="s">
        <v>58</v>
      </c>
      <c r="J27" s="139" t="s">
        <v>58</v>
      </c>
      <c r="K27" s="139"/>
      <c r="L27" s="139"/>
      <c r="M27" s="136">
        <f t="shared" si="0"/>
        <v>6</v>
      </c>
    </row>
    <row r="28" spans="1:17" ht="24" customHeight="1">
      <c r="A28" s="60">
        <v>26</v>
      </c>
      <c r="B28" s="132" t="s">
        <v>196</v>
      </c>
      <c r="C28" s="137" t="s">
        <v>197</v>
      </c>
      <c r="D28" s="138"/>
      <c r="E28" s="139"/>
      <c r="F28" s="139"/>
      <c r="G28" s="139"/>
      <c r="H28" s="139"/>
      <c r="I28" s="139"/>
      <c r="J28" s="139" t="s">
        <v>58</v>
      </c>
      <c r="K28" s="139"/>
      <c r="L28" s="139" t="s">
        <v>58</v>
      </c>
      <c r="M28" s="136">
        <f t="shared" si="0"/>
        <v>2</v>
      </c>
    </row>
    <row r="29" spans="1:17" ht="24" customHeight="1">
      <c r="A29" s="60">
        <v>27</v>
      </c>
      <c r="B29" s="132" t="s">
        <v>198</v>
      </c>
      <c r="C29" s="137" t="s">
        <v>199</v>
      </c>
      <c r="D29" s="138"/>
      <c r="E29" s="139"/>
      <c r="F29" s="139"/>
      <c r="G29" s="139"/>
      <c r="H29" s="139"/>
      <c r="I29" s="139"/>
      <c r="J29" s="139"/>
      <c r="K29" s="139"/>
      <c r="L29" s="139"/>
      <c r="M29" s="136">
        <f t="shared" si="0"/>
        <v>0</v>
      </c>
    </row>
    <row r="30" spans="1:17" ht="24" customHeight="1">
      <c r="A30" s="60">
        <v>28</v>
      </c>
      <c r="B30" s="132" t="s">
        <v>200</v>
      </c>
      <c r="C30" s="137" t="s">
        <v>201</v>
      </c>
      <c r="D30" s="138" t="s">
        <v>58</v>
      </c>
      <c r="E30" s="139" t="s">
        <v>58</v>
      </c>
      <c r="F30" s="139" t="s">
        <v>58</v>
      </c>
      <c r="G30" s="139" t="s">
        <v>58</v>
      </c>
      <c r="H30" s="139"/>
      <c r="I30" s="139" t="s">
        <v>58</v>
      </c>
      <c r="J30" s="139"/>
      <c r="K30" s="139" t="s">
        <v>58</v>
      </c>
      <c r="L30" s="139" t="s">
        <v>58</v>
      </c>
      <c r="M30" s="136">
        <f t="shared" si="0"/>
        <v>7</v>
      </c>
    </row>
    <row r="31" spans="1:17" ht="24" customHeight="1">
      <c r="A31" s="60">
        <v>29</v>
      </c>
      <c r="B31" s="132" t="s">
        <v>202</v>
      </c>
      <c r="C31" s="137" t="s">
        <v>203</v>
      </c>
      <c r="D31" s="138" t="s">
        <v>58</v>
      </c>
      <c r="E31" s="139" t="s">
        <v>58</v>
      </c>
      <c r="F31" s="139"/>
      <c r="G31" s="139"/>
      <c r="H31" s="139" t="s">
        <v>58</v>
      </c>
      <c r="I31" s="139" t="s">
        <v>58</v>
      </c>
      <c r="J31" s="139" t="s">
        <v>58</v>
      </c>
      <c r="K31" s="139" t="s">
        <v>58</v>
      </c>
      <c r="L31" s="139" t="s">
        <v>58</v>
      </c>
      <c r="M31" s="136">
        <f t="shared" si="0"/>
        <v>7</v>
      </c>
    </row>
    <row r="32" spans="1:17" ht="24" customHeight="1">
      <c r="A32" s="60">
        <v>32</v>
      </c>
      <c r="B32" s="132" t="s">
        <v>204</v>
      </c>
      <c r="C32" s="137" t="s">
        <v>205</v>
      </c>
      <c r="D32" s="138"/>
      <c r="E32" s="139"/>
      <c r="F32" s="139"/>
      <c r="G32" s="139"/>
      <c r="H32" s="139"/>
      <c r="I32" s="139" t="s">
        <v>58</v>
      </c>
      <c r="J32" s="139" t="s">
        <v>58</v>
      </c>
      <c r="K32" s="139"/>
      <c r="L32" s="139"/>
      <c r="M32" s="136">
        <f t="shared" si="0"/>
        <v>2</v>
      </c>
    </row>
    <row r="33" spans="1:13" ht="24" customHeight="1">
      <c r="A33" s="60">
        <v>33</v>
      </c>
      <c r="B33" s="132" t="s">
        <v>206</v>
      </c>
      <c r="C33" s="137" t="s">
        <v>207</v>
      </c>
      <c r="D33" s="138"/>
      <c r="E33" s="139"/>
      <c r="F33" s="139"/>
      <c r="G33" s="139"/>
      <c r="H33" s="139"/>
      <c r="I33" s="139"/>
      <c r="J33" s="139"/>
      <c r="K33" s="139"/>
      <c r="L33" s="139"/>
      <c r="M33" s="136">
        <f t="shared" si="0"/>
        <v>0</v>
      </c>
    </row>
    <row r="34" spans="1:13" ht="24" customHeight="1">
      <c r="A34" s="60">
        <v>34</v>
      </c>
      <c r="B34" s="132" t="s">
        <v>208</v>
      </c>
      <c r="C34" s="137" t="s">
        <v>209</v>
      </c>
      <c r="D34" s="138"/>
      <c r="E34" s="139"/>
      <c r="F34" s="139"/>
      <c r="G34" s="139" t="s">
        <v>58</v>
      </c>
      <c r="H34" s="139" t="s">
        <v>58</v>
      </c>
      <c r="I34" s="139"/>
      <c r="J34" s="139"/>
      <c r="K34" s="139" t="s">
        <v>58</v>
      </c>
      <c r="L34" s="139" t="s">
        <v>58</v>
      </c>
      <c r="M34" s="136">
        <f t="shared" si="0"/>
        <v>4</v>
      </c>
    </row>
    <row r="35" spans="1:13" ht="24" customHeight="1">
      <c r="A35" s="60">
        <v>35</v>
      </c>
      <c r="B35" s="132" t="s">
        <v>210</v>
      </c>
      <c r="C35" s="137" t="s">
        <v>211</v>
      </c>
      <c r="D35" s="138"/>
      <c r="E35" s="139"/>
      <c r="F35" s="139" t="s">
        <v>58</v>
      </c>
      <c r="G35" s="139"/>
      <c r="H35" s="139"/>
      <c r="I35" s="139" t="s">
        <v>58</v>
      </c>
      <c r="J35" s="139"/>
      <c r="K35" s="139"/>
      <c r="L35" s="139"/>
      <c r="M35" s="136">
        <f t="shared" si="0"/>
        <v>2</v>
      </c>
    </row>
    <row r="36" spans="1:13" ht="24" customHeight="1">
      <c r="A36" s="60">
        <v>36</v>
      </c>
      <c r="B36" s="132" t="s">
        <v>212</v>
      </c>
      <c r="C36" s="137" t="s">
        <v>213</v>
      </c>
      <c r="D36" s="138"/>
      <c r="E36" s="139"/>
      <c r="F36" s="139"/>
      <c r="G36" s="139"/>
      <c r="H36" s="139"/>
      <c r="I36" s="139" t="s">
        <v>58</v>
      </c>
      <c r="J36" s="139"/>
      <c r="K36" s="139"/>
      <c r="L36" s="139"/>
      <c r="M36" s="136">
        <f t="shared" si="0"/>
        <v>1</v>
      </c>
    </row>
    <row r="37" spans="1:13" ht="24" customHeight="1">
      <c r="A37" s="60">
        <v>37</v>
      </c>
      <c r="B37" s="132" t="s">
        <v>214</v>
      </c>
      <c r="C37" s="137" t="s">
        <v>215</v>
      </c>
      <c r="D37" s="138"/>
      <c r="E37" s="139"/>
      <c r="F37" s="139"/>
      <c r="G37" s="139"/>
      <c r="H37" s="139"/>
      <c r="I37" s="139"/>
      <c r="J37" s="139"/>
      <c r="K37" s="139"/>
      <c r="L37" s="139"/>
      <c r="M37" s="136">
        <f t="shared" si="0"/>
        <v>0</v>
      </c>
    </row>
    <row r="38" spans="1:13" ht="24" customHeight="1">
      <c r="A38" s="60">
        <v>38</v>
      </c>
      <c r="B38" s="132" t="s">
        <v>216</v>
      </c>
      <c r="C38" s="137" t="s">
        <v>217</v>
      </c>
      <c r="D38" s="138" t="s">
        <v>58</v>
      </c>
      <c r="E38" s="139" t="s">
        <v>58</v>
      </c>
      <c r="F38" s="139" t="s">
        <v>58</v>
      </c>
      <c r="G38" s="139" t="s">
        <v>58</v>
      </c>
      <c r="H38" s="139" t="s">
        <v>58</v>
      </c>
      <c r="I38" s="139" t="s">
        <v>58</v>
      </c>
      <c r="J38" s="139" t="s">
        <v>58</v>
      </c>
      <c r="K38" s="139" t="s">
        <v>58</v>
      </c>
      <c r="L38" s="139" t="s">
        <v>58</v>
      </c>
      <c r="M38" s="136">
        <f t="shared" si="0"/>
        <v>9</v>
      </c>
    </row>
    <row r="39" spans="1:13" ht="24" customHeight="1">
      <c r="A39" s="60">
        <v>39</v>
      </c>
      <c r="B39" s="132" t="s">
        <v>218</v>
      </c>
      <c r="C39" s="137" t="s">
        <v>219</v>
      </c>
      <c r="D39" s="140"/>
      <c r="E39" s="141"/>
      <c r="F39" s="141"/>
      <c r="G39" s="141"/>
      <c r="H39" s="141"/>
      <c r="I39" s="141"/>
      <c r="J39" s="141"/>
      <c r="K39" s="141"/>
      <c r="L39" s="141"/>
      <c r="M39" s="136">
        <f t="shared" si="0"/>
        <v>0</v>
      </c>
    </row>
    <row r="40" spans="1:13" ht="15.75" customHeight="1">
      <c r="A40" s="64"/>
      <c r="B40" s="62"/>
      <c r="C40" s="131"/>
      <c r="D40" s="142"/>
      <c r="E40" s="143"/>
      <c r="F40" s="143"/>
      <c r="G40" s="143"/>
      <c r="H40" s="143"/>
      <c r="I40" s="143"/>
      <c r="J40" s="143"/>
      <c r="K40" s="143"/>
      <c r="L40" s="143"/>
      <c r="M40" s="144"/>
    </row>
    <row r="41" spans="1:13" ht="15.75" customHeight="1">
      <c r="A41" s="67"/>
      <c r="B41" s="14"/>
      <c r="C41" s="62"/>
      <c r="E41" s="145">
        <f t="shared" ref="E41:I41" si="2">COUNTIF(E5:E39,"X")</f>
        <v>16</v>
      </c>
      <c r="F41" s="145">
        <f t="shared" si="2"/>
        <v>13</v>
      </c>
      <c r="G41" s="145">
        <f t="shared" si="2"/>
        <v>12</v>
      </c>
      <c r="H41" s="145">
        <f t="shared" si="2"/>
        <v>12</v>
      </c>
      <c r="I41" s="145">
        <f t="shared" si="2"/>
        <v>10</v>
      </c>
      <c r="J41" s="145"/>
      <c r="K41" s="145"/>
      <c r="L41" s="145">
        <f>COUNTIF(L5:L39,"X")</f>
        <v>16</v>
      </c>
      <c r="M41" s="146">
        <f>COUNTIF(M5:M39,"&gt;0")</f>
        <v>26</v>
      </c>
    </row>
    <row r="42" spans="1:13" ht="15.75" customHeight="1">
      <c r="C42" s="14"/>
      <c r="D42" s="147"/>
      <c r="E42" s="148">
        <f t="shared" ref="E42:I42" si="3">E41/40</f>
        <v>0.4</v>
      </c>
      <c r="F42" s="148">
        <f t="shared" si="3"/>
        <v>0.32500000000000001</v>
      </c>
      <c r="G42" s="148">
        <f t="shared" si="3"/>
        <v>0.3</v>
      </c>
      <c r="H42" s="148">
        <f t="shared" si="3"/>
        <v>0.3</v>
      </c>
      <c r="I42" s="148">
        <f t="shared" si="3"/>
        <v>0.25</v>
      </c>
      <c r="J42" s="148"/>
      <c r="K42" s="148"/>
      <c r="L42" s="148">
        <f t="shared" ref="L42:M42" si="4">L41/40</f>
        <v>0.4</v>
      </c>
      <c r="M42" s="148">
        <f t="shared" si="4"/>
        <v>0.65</v>
      </c>
    </row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7" priority="1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" footer="0"/>
  <pageSetup paperSize="14" scale="95" orientation="landscape"/>
  <headerFooter>
    <oddFooter>&amp;CC:\Master2000\ - Página &amp;P de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Informe 6-5</vt:lpstr>
      <vt:lpstr>informe PARCIAL 1 periodo (2)</vt:lpstr>
      <vt:lpstr>Hoja5</vt:lpstr>
      <vt:lpstr>Informe Final 1 periodo</vt:lpstr>
      <vt:lpstr>Hoja6</vt:lpstr>
      <vt:lpstr>INFORME FINAL 1ER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ANGELA RESTREPO</dc:creator>
  <cp:lastModifiedBy>Javier Ospina Moreno</cp:lastModifiedBy>
  <dcterms:created xsi:type="dcterms:W3CDTF">2013-04-17T20:00:56Z</dcterms:created>
  <dcterms:modified xsi:type="dcterms:W3CDTF">2026-05-13T18:36:02Z</dcterms:modified>
</cp:coreProperties>
</file>